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1160" tabRatio="922" firstSheet="2" activeTab="8"/>
  </bookViews>
  <sheets>
    <sheet name="Выставки Сети" sheetId="1" state="hidden" r:id="rId1"/>
    <sheet name="содержание " sheetId="2" r:id="rId2"/>
    <sheet name="Заявка стр. 1" sheetId="3" r:id="rId3"/>
    <sheet name="Заявка стр. 2" sheetId="4" r:id="rId4"/>
    <sheet name="Договор" sheetId="5" r:id="rId5"/>
    <sheet name="Пр. 1 " sheetId="6" r:id="rId6"/>
    <sheet name="Заявка ДО №1.1" sheetId="7" r:id="rId7"/>
    <sheet name="Заявка макет №1.2" sheetId="8" r:id="rId8"/>
    <sheet name="Пр. 2" sheetId="9" r:id="rId9"/>
    <sheet name="Пр. 3" sheetId="10" r:id="rId10"/>
    <sheet name="Пр. 4" sheetId="11" r:id="rId11"/>
    <sheet name="Пр. 5" sheetId="12" r:id="rId12"/>
    <sheet name="Пр. 6" sheetId="13" r:id="rId13"/>
    <sheet name="Пр. 7" sheetId="14" r:id="rId14"/>
    <sheet name="Пр. 8" sheetId="15" r:id="rId15"/>
    <sheet name="Пр. 9" sheetId="16" r:id="rId16"/>
    <sheet name="Пр. 10" sheetId="17" r:id="rId17"/>
    <sheet name="Ф.1" sheetId="18" r:id="rId18"/>
    <sheet name="Ф.1а " sheetId="19" r:id="rId19"/>
    <sheet name="Ф.1б " sheetId="20" r:id="rId20"/>
    <sheet name="Ф.1в" sheetId="21" r:id="rId21"/>
    <sheet name="Ф.1г" sheetId="22" r:id="rId22"/>
    <sheet name="Ф.2" sheetId="23" r:id="rId23"/>
    <sheet name="Ф.2а" sheetId="24" r:id="rId24"/>
    <sheet name="Ф3" sheetId="25" r:id="rId25"/>
    <sheet name="Ф.4" sheetId="26" r:id="rId26"/>
  </sheets>
  <definedNames>
    <definedName name="_xlfn.BAHTTEXT" hidden="1">#NAME?</definedName>
    <definedName name="Z_2372C141_AF13_45D9_8044_81E192C7E8F8_.wvu.PrintArea" localSheetId="0" hidden="1">'Выставки Сети'!$A$1:$K$37</definedName>
    <definedName name="Z_2372C141_AF13_45D9_8044_81E192C7E8F8_.wvu.PrintArea" localSheetId="4" hidden="1">'Договор'!$A$4:$K$125</definedName>
    <definedName name="Z_2372C141_AF13_45D9_8044_81E192C7E8F8_.wvu.PrintArea" localSheetId="6" hidden="1">'Заявка ДО №1.1'!$G$1:$M$62</definedName>
    <definedName name="Z_2372C141_AF13_45D9_8044_81E192C7E8F8_.wvu.PrintArea" localSheetId="7" hidden="1">'Заявка макет №1.2'!$J$1:$S$45</definedName>
    <definedName name="Z_2372C141_AF13_45D9_8044_81E192C7E8F8_.wvu.PrintArea" localSheetId="2" hidden="1">'Заявка стр. 1'!$A$1:$D$47</definedName>
    <definedName name="Z_2372C141_AF13_45D9_8044_81E192C7E8F8_.wvu.PrintArea" localSheetId="3" hidden="1">'Заявка стр. 2'!$B$1:$L$58</definedName>
    <definedName name="Z_2372C141_AF13_45D9_8044_81E192C7E8F8_.wvu.PrintArea" localSheetId="5" hidden="1">'Пр. 1 '!$F$1:$L$58</definedName>
    <definedName name="Z_2372C141_AF13_45D9_8044_81E192C7E8F8_.wvu.PrintArea" localSheetId="16" hidden="1">'Пр. 10'!$E$1:$K$76</definedName>
    <definedName name="Z_2372C141_AF13_45D9_8044_81E192C7E8F8_.wvu.PrintArea" localSheetId="8" hidden="1">'Пр. 2'!$E$1:$K$73</definedName>
    <definedName name="Z_2372C141_AF13_45D9_8044_81E192C7E8F8_.wvu.PrintArea" localSheetId="9" hidden="1">'Пр. 3'!$E$1:$K$43</definedName>
    <definedName name="Z_2372C141_AF13_45D9_8044_81E192C7E8F8_.wvu.PrintArea" localSheetId="10" hidden="1">'Пр. 4'!$E$1:$K$53</definedName>
    <definedName name="Z_2372C141_AF13_45D9_8044_81E192C7E8F8_.wvu.PrintArea" localSheetId="11" hidden="1">'Пр. 5'!$E$1:$K$39</definedName>
    <definedName name="Z_2372C141_AF13_45D9_8044_81E192C7E8F8_.wvu.PrintArea" localSheetId="12" hidden="1">'Пр. 6'!$E$1:$J$64</definedName>
    <definedName name="Z_2372C141_AF13_45D9_8044_81E192C7E8F8_.wvu.PrintArea" localSheetId="13" hidden="1">'Пр. 7'!$E$1:$K$38</definedName>
    <definedName name="Z_2372C141_AF13_45D9_8044_81E192C7E8F8_.wvu.PrintArea" localSheetId="14" hidden="1">'Пр. 8'!$F$1:$L$38</definedName>
    <definedName name="Z_2372C141_AF13_45D9_8044_81E192C7E8F8_.wvu.PrintArea" localSheetId="15" hidden="1">'Пр. 9'!$E$1:$M$38</definedName>
    <definedName name="Z_2372C141_AF13_45D9_8044_81E192C7E8F8_.wvu.PrintArea" localSheetId="17" hidden="1">'Ф.1'!$C$1:$J$34</definedName>
    <definedName name="Z_2372C141_AF13_45D9_8044_81E192C7E8F8_.wvu.PrintArea" localSheetId="18" hidden="1">'Ф.1а '!$A$1:$J$33</definedName>
    <definedName name="Z_2372C141_AF13_45D9_8044_81E192C7E8F8_.wvu.PrintArea" localSheetId="19" hidden="1">'Ф.1б '!$A$1:$J$33</definedName>
    <definedName name="Z_2372C141_AF13_45D9_8044_81E192C7E8F8_.wvu.PrintArea" localSheetId="20" hidden="1">'Ф.1в'!$A$1:$J$33</definedName>
    <definedName name="Z_2372C141_AF13_45D9_8044_81E192C7E8F8_.wvu.PrintArea" localSheetId="21" hidden="1">'Ф.1г'!$A$1:$K$35</definedName>
    <definedName name="Z_2372C141_AF13_45D9_8044_81E192C7E8F8_.wvu.PrintArea" localSheetId="24" hidden="1">'Ф3'!$A$1:$J$47</definedName>
    <definedName name="Z_2372C141_AF13_45D9_8044_81E192C7E8F8_.wvu.Rows" localSheetId="17" hidden="1">'Ф.1'!$15:$15</definedName>
    <definedName name="Z_2372C141_AF13_45D9_8044_81E192C7E8F8_.wvu.Rows" localSheetId="18" hidden="1">'Ф.1а '!#REF!</definedName>
    <definedName name="Z_2372C141_AF13_45D9_8044_81E192C7E8F8_.wvu.Rows" localSheetId="19" hidden="1">'Ф.1б '!#REF!</definedName>
    <definedName name="Z_2372C141_AF13_45D9_8044_81E192C7E8F8_.wvu.Rows" localSheetId="20" hidden="1">'Ф.1в'!#REF!</definedName>
    <definedName name="Z_2372C141_AF13_45D9_8044_81E192C7E8F8_.wvu.Rows" localSheetId="21" hidden="1">'Ф.1г'!$18:$18</definedName>
    <definedName name="_xlnm.Print_Area" localSheetId="0">'Выставки Сети'!$A$1:$K$43</definedName>
    <definedName name="_xlnm.Print_Area" localSheetId="4">'Договор'!$A$1:$K$125</definedName>
    <definedName name="_xlnm.Print_Area" localSheetId="6">'Заявка ДО №1.1'!$A$1:$M$59</definedName>
    <definedName name="_xlnm.Print_Area" localSheetId="7">'Заявка макет №1.2'!$A$1:$S$43</definedName>
    <definedName name="_xlnm.Print_Area" localSheetId="2">'Заявка стр. 1'!$A$1:$D$47</definedName>
    <definedName name="_xlnm.Print_Area" localSheetId="3">'Заявка стр. 2'!$A$1:$L$107</definedName>
    <definedName name="_xlnm.Print_Area" localSheetId="5">'Пр. 1 '!$A$1:$M$58</definedName>
    <definedName name="_xlnm.Print_Area" localSheetId="16">'Пр. 10'!$A$1:$L$78</definedName>
    <definedName name="_xlnm.Print_Area" localSheetId="8">'Пр. 2'!$A$1:$L$73</definedName>
    <definedName name="_xlnm.Print_Area" localSheetId="9">'Пр. 3'!$A$1:$L$43</definedName>
    <definedName name="_xlnm.Print_Area" localSheetId="10">'Пр. 4'!$A$1:$L$53</definedName>
    <definedName name="_xlnm.Print_Area" localSheetId="11">'Пр. 5'!$A$1:$L$39</definedName>
    <definedName name="_xlnm.Print_Area" localSheetId="12">'Пр. 6'!$A$1:$K$66</definedName>
    <definedName name="_xlnm.Print_Area" localSheetId="13">'Пр. 7'!$A$1:$K$85</definedName>
    <definedName name="_xlnm.Print_Area" localSheetId="14">'Пр. 8'!$A$1:$M$43</definedName>
    <definedName name="_xlnm.Print_Area" localSheetId="15">'Пр. 9'!$A$1:$N$40</definedName>
    <definedName name="_xlnm.Print_Area" localSheetId="1">'содержание '!$A$1:$H$72</definedName>
    <definedName name="_xlnm.Print_Area" localSheetId="17">'Ф.1'!$A$1:$J$34</definedName>
    <definedName name="_xlnm.Print_Area" localSheetId="18">'Ф.1а '!$A$1:$J$37</definedName>
    <definedName name="_xlnm.Print_Area" localSheetId="19">'Ф.1б '!$A$1:$J$39</definedName>
    <definedName name="_xlnm.Print_Area" localSheetId="20">'Ф.1в'!$A$1:$J$40</definedName>
    <definedName name="_xlnm.Print_Area" localSheetId="21">'Ф.1г'!$A$1:$K$35</definedName>
    <definedName name="_xlnm.Print_Area" localSheetId="22">'Ф.2'!$A$1:$I$53</definedName>
    <definedName name="_xlnm.Print_Area" localSheetId="23">'Ф.2а'!$A$1:$I$56</definedName>
    <definedName name="_xlnm.Print_Area" localSheetId="25">'Ф.4'!$A$1:$J$49</definedName>
    <definedName name="_xlnm.Print_Area" localSheetId="24">'Ф3'!$A$1:$J$49</definedName>
  </definedNames>
  <calcPr fullCalcOnLoad="1"/>
</workbook>
</file>

<file path=xl/comments1.xml><?xml version="1.0" encoding="utf-8"?>
<comments xmlns="http://schemas.openxmlformats.org/spreadsheetml/2006/main">
  <authors>
    <author>aglebov</author>
  </authors>
  <commentList>
    <comment ref="H5" authorId="0">
      <text>
        <r>
          <rPr>
            <b/>
            <sz val="14"/>
            <color indexed="9"/>
            <rFont val="Tahoma"/>
            <family val="2"/>
          </rPr>
          <t>Заполните заявку стр. 1</t>
        </r>
        <r>
          <rPr>
            <sz val="14"/>
            <color indexed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Glebov</author>
  </authors>
  <commentList>
    <comment ref="C17" authorId="0">
      <text>
        <r>
          <rPr>
            <b/>
            <sz val="12"/>
            <rFont val="Tahoma"/>
            <family val="2"/>
          </rPr>
          <t>Укажите язык перевода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12"/>
            <rFont val="Tahoma"/>
            <family val="2"/>
          </rPr>
          <t>Укажите язык перевода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Glebov</author>
  </authors>
  <commentList>
    <comment ref="K5" authorId="0">
      <text>
        <r>
          <rPr>
            <b/>
            <sz val="12"/>
            <color indexed="21"/>
            <rFont val="Tahoma"/>
            <family val="2"/>
          </rPr>
          <t>Укажите номер конференц-зала 
(аудитории, переговорной комнаты),
в котором вы планируете провести мероприятие</t>
        </r>
        <r>
          <rPr>
            <b/>
            <sz val="8"/>
            <rFont val="Tahoma"/>
            <family val="0"/>
          </rPr>
          <t xml:space="preserve"> 
</t>
        </r>
      </text>
    </comment>
    <comment ref="K7" authorId="0">
      <text>
        <r>
          <rPr>
            <b/>
            <sz val="12"/>
            <color indexed="21"/>
            <rFont val="Tahoma"/>
            <family val="2"/>
          </rPr>
          <t xml:space="preserve">Укажите желаемую 
дату проведения мероприятия
</t>
        </r>
        <r>
          <rPr>
            <b/>
            <sz val="12"/>
            <rFont val="Tahoma"/>
            <family val="2"/>
          </rPr>
          <t>дд.мм.гг</t>
        </r>
      </text>
    </comment>
    <comment ref="K9" authorId="0">
      <text>
        <r>
          <rPr>
            <b/>
            <sz val="12"/>
            <color indexed="21"/>
            <rFont val="Tahoma"/>
            <family val="2"/>
          </rPr>
          <t xml:space="preserve">Укажите желаемое 
время проведения мероприятия
</t>
        </r>
        <r>
          <rPr>
            <b/>
            <sz val="12"/>
            <rFont val="Tahoma"/>
            <family val="2"/>
          </rPr>
          <t>чч.мм</t>
        </r>
      </text>
    </comment>
  </commentList>
</comments>
</file>

<file path=xl/comments16.xml><?xml version="1.0" encoding="utf-8"?>
<comments xmlns="http://schemas.openxmlformats.org/spreadsheetml/2006/main">
  <authors>
    <author>aglebov</author>
  </authors>
  <commentList>
    <comment ref="G17" authorId="0">
      <text>
        <r>
          <rPr>
            <b/>
            <sz val="8"/>
            <color indexed="9"/>
            <rFont val="Tahoma"/>
            <family val="2"/>
          </rPr>
          <t>Значение в ячейке не должно быть больше "1".
В случае представления нескольких образцов, 
укажите дополнительное количество свыше "1" в ячейке ниже.</t>
        </r>
        <r>
          <rPr>
            <sz val="8"/>
            <color indexed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A-glebov</author>
    <author>Glebov</author>
    <author>aglebov</author>
  </authors>
  <commentList>
    <comment ref="K23" authorId="0">
      <text>
        <r>
          <rPr>
            <b/>
            <sz val="15"/>
            <color indexed="9"/>
            <rFont val="Tahoma"/>
            <family val="2"/>
          </rPr>
          <t>ВНИМАНИЕ !
Размер стенда не может 
быть менее 12  кв.м.</t>
        </r>
        <r>
          <rPr>
            <b/>
            <sz val="15"/>
            <color indexed="10"/>
            <rFont val="Tahoma"/>
            <family val="2"/>
          </rPr>
          <t xml:space="preserve">
</t>
        </r>
        <r>
          <rPr>
            <b/>
            <sz val="15"/>
            <color indexed="51"/>
            <rFont val="Tahoma"/>
            <family val="2"/>
          </rPr>
          <t>Укажите размер  
выставочной площади 
в павильоне</t>
        </r>
        <r>
          <rPr>
            <b/>
            <sz val="12"/>
            <color indexed="51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15"/>
            <color indexed="10"/>
            <rFont val="Tahoma"/>
            <family val="2"/>
          </rPr>
          <t>Укажите размер
выставочной площади 
на открытой площадке</t>
        </r>
        <r>
          <rPr>
            <sz val="10"/>
            <rFont val="Tahoma"/>
            <family val="0"/>
          </rPr>
          <t xml:space="preserve">
</t>
        </r>
      </text>
    </comment>
    <comment ref="K31" authorId="0">
      <text>
        <r>
          <rPr>
            <b/>
            <sz val="15"/>
            <color indexed="10"/>
            <rFont val="Tahoma"/>
            <family val="2"/>
          </rPr>
          <t xml:space="preserve">Укажите размер оборудуемой 
выставочной площади.
</t>
        </r>
        <r>
          <rPr>
            <b/>
            <sz val="15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Ячейка не заполняется, если вы осуществляете 
строительство стенда по индивидуальной планировке</t>
        </r>
        <r>
          <rPr>
            <sz val="10"/>
            <rFont val="Tahoma"/>
            <family val="0"/>
          </rPr>
          <t xml:space="preserve">
</t>
        </r>
      </text>
    </comment>
    <comment ref="K36" authorId="0">
      <text>
        <r>
          <rPr>
            <b/>
            <sz val="15"/>
            <color indexed="10"/>
            <rFont val="Tahoma"/>
            <family val="2"/>
          </rPr>
          <t>Укажите количество 
предприятий в случае 
Заочного участия</t>
        </r>
        <r>
          <rPr>
            <sz val="10"/>
            <rFont val="Tahoma"/>
            <family val="0"/>
          </rPr>
          <t xml:space="preserve">
</t>
        </r>
      </text>
    </comment>
    <comment ref="K32" authorId="0">
      <text>
        <r>
          <rPr>
            <b/>
            <sz val="15"/>
            <color indexed="10"/>
            <rFont val="Tahoma"/>
            <family val="2"/>
          </rPr>
          <t xml:space="preserve">Укажите размер оборудуемой 
выставочной площади.
</t>
        </r>
        <r>
          <rPr>
            <b/>
            <sz val="15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Ячейка не заполняется, если вы 
осуществляете строительство стенда 
по индивидуальной планировке</t>
        </r>
        <r>
          <rPr>
            <sz val="10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15"/>
            <color indexed="10"/>
            <rFont val="Tahoma"/>
            <family val="2"/>
          </rPr>
          <t>Укажите количество 
предприятий - Соэкспонентов, 
участвующих на Вашем стенде</t>
        </r>
        <r>
          <rPr>
            <sz val="10"/>
            <rFont val="Tahoma"/>
            <family val="0"/>
          </rPr>
          <t xml:space="preserve">
</t>
        </r>
      </text>
    </comment>
    <comment ref="L8" authorId="1">
      <text>
        <r>
          <rPr>
            <b/>
            <sz val="12"/>
            <color indexed="21"/>
            <rFont val="Tahoma"/>
            <family val="2"/>
          </rPr>
          <t>Укажите номер павильона, 
в котором расположен ваш стенд</t>
        </r>
        <r>
          <rPr>
            <sz val="12"/>
            <rFont val="Tahoma"/>
            <family val="2"/>
          </rPr>
          <t xml:space="preserve">
</t>
        </r>
      </text>
    </comment>
    <comment ref="L10" authorId="1">
      <text>
        <r>
          <rPr>
            <b/>
            <sz val="12"/>
            <color indexed="21"/>
            <rFont val="Tahoma"/>
            <family val="2"/>
          </rPr>
          <t>Укажите полный 
номер вашего стенда 
с указанием № зала (А,B,С или Д)</t>
        </r>
        <r>
          <rPr>
            <sz val="8"/>
            <rFont val="Tahoma"/>
            <family val="0"/>
          </rPr>
          <t xml:space="preserve">
</t>
        </r>
      </text>
    </comment>
    <comment ref="L12" authorId="1">
      <text>
        <r>
          <rPr>
            <b/>
            <sz val="12"/>
            <color indexed="21"/>
            <rFont val="Tahoma"/>
            <family val="2"/>
          </rPr>
          <t>Отметьте "V", 
если вы заказываете открытую площадь</t>
        </r>
        <r>
          <rPr>
            <sz val="12"/>
            <color indexed="21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15"/>
            <color indexed="9"/>
            <rFont val="Tahoma"/>
            <family val="2"/>
          </rPr>
          <t xml:space="preserve">ВНИМАНИЕ !
Размер стенда не может 
быть менее 6 кв.м.
</t>
        </r>
        <r>
          <rPr>
            <b/>
            <sz val="15"/>
            <color indexed="10"/>
            <rFont val="Tahoma"/>
            <family val="2"/>
          </rPr>
          <t xml:space="preserve">
</t>
        </r>
        <r>
          <rPr>
            <b/>
            <sz val="15"/>
            <color indexed="51"/>
            <rFont val="Tahoma"/>
            <family val="2"/>
          </rPr>
          <t>Укажите размер  
выставочной площади 
в экспозиции "Оружие и охота"</t>
        </r>
        <r>
          <rPr>
            <b/>
            <sz val="12"/>
            <color indexed="51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12"/>
            <color indexed="10"/>
            <rFont val="Tahoma"/>
            <family val="2"/>
          </rPr>
          <t>Если ваша организация является участником
выставочной программы, в этом случае вам предоставляется
один именной пропуск категории "Делегат"
для участия в одном из мероприятий деловой программы
без дополнительной оплаты</t>
        </r>
      </text>
    </comment>
    <comment ref="K41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делегатов
</t>
        </r>
        <r>
          <rPr>
            <sz val="10"/>
            <rFont val="Tahoma"/>
            <family val="0"/>
          </rPr>
          <t xml:space="preserve">
</t>
        </r>
      </text>
    </comment>
    <comment ref="K42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делегатов
</t>
        </r>
        <r>
          <rPr>
            <sz val="10"/>
            <rFont val="Tahoma"/>
            <family val="0"/>
          </rPr>
          <t xml:space="preserve">
</t>
        </r>
      </text>
    </comment>
    <comment ref="K44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делегатов
</t>
        </r>
        <r>
          <rPr>
            <sz val="10"/>
            <rFont val="Tahoma"/>
            <family val="0"/>
          </rPr>
          <t xml:space="preserve">
</t>
        </r>
      </text>
    </comment>
    <comment ref="K45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делегатов
</t>
        </r>
        <r>
          <rPr>
            <sz val="10"/>
            <rFont val="Tahoma"/>
            <family val="0"/>
          </rPr>
          <t xml:space="preserve">
</t>
        </r>
      </text>
    </comment>
    <comment ref="B17" authorId="2">
      <text>
        <r>
          <rPr>
            <b/>
            <sz val="12"/>
            <color indexed="10"/>
            <rFont val="Tahoma"/>
            <family val="2"/>
          </rPr>
          <t>Укажите тематическую направленность
вашей экспозиции в перечне выставок 
и экспозиций, указанных ниже.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K48" authorId="0">
      <text>
        <r>
          <rPr>
            <b/>
            <sz val="12"/>
            <color indexed="10"/>
            <rFont val="Tahoma"/>
            <family val="2"/>
          </rPr>
          <t>Если ваша организация является участником
выставочной программы, в этом случае вам предоставляется
одно участие с презентацией до 15 мин. 
без дополнительной оплаты</t>
        </r>
      </text>
    </comment>
    <comment ref="K49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презентаций
</t>
        </r>
        <r>
          <rPr>
            <sz val="10"/>
            <rFont val="Tahoma"/>
            <family val="0"/>
          </rPr>
          <t xml:space="preserve">
</t>
        </r>
      </text>
    </comment>
    <comment ref="K50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презентаций
</t>
        </r>
        <r>
          <rPr>
            <sz val="10"/>
            <rFont val="Tahoma"/>
            <family val="0"/>
          </rPr>
          <t xml:space="preserve">
</t>
        </r>
      </text>
    </comment>
    <comment ref="K53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презентаций
</t>
        </r>
        <r>
          <rPr>
            <sz val="10"/>
            <rFont val="Tahoma"/>
            <family val="0"/>
          </rPr>
          <t xml:space="preserve">
</t>
        </r>
      </text>
    </comment>
    <comment ref="K54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презентаций
</t>
        </r>
        <r>
          <rPr>
            <sz val="10"/>
            <rFont val="Tahoma"/>
            <family val="0"/>
          </rPr>
          <t xml:space="preserve">
</t>
        </r>
      </text>
    </comment>
    <comment ref="K52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презентаций
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A-glebov</author>
    <author>Glebov</author>
  </authors>
  <commentList>
    <comment ref="H34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открытых сторон:
1 </t>
        </r>
        <r>
          <rPr>
            <b/>
            <sz val="15"/>
            <rFont val="Tahoma"/>
            <family val="2"/>
          </rPr>
          <t>- линейный стенд;</t>
        </r>
        <r>
          <rPr>
            <b/>
            <sz val="15"/>
            <color indexed="10"/>
            <rFont val="Tahoma"/>
            <family val="2"/>
          </rPr>
          <t xml:space="preserve">
2 </t>
        </r>
        <r>
          <rPr>
            <b/>
            <sz val="15"/>
            <rFont val="Tahoma"/>
            <family val="2"/>
          </rPr>
          <t>- угловой стенд (открытый с 2-х сторон);</t>
        </r>
        <r>
          <rPr>
            <b/>
            <sz val="15"/>
            <color indexed="10"/>
            <rFont val="Tahoma"/>
            <family val="2"/>
          </rPr>
          <t xml:space="preserve">
3 </t>
        </r>
        <r>
          <rPr>
            <b/>
            <sz val="15"/>
            <rFont val="Tahoma"/>
            <family val="2"/>
          </rPr>
          <t>- стенд-полуостров (открытый с 3-х сторон);</t>
        </r>
        <r>
          <rPr>
            <sz val="10"/>
            <rFont val="Tahoma"/>
            <family val="0"/>
          </rPr>
          <t xml:space="preserve">
</t>
        </r>
        <r>
          <rPr>
            <b/>
            <sz val="15"/>
            <color indexed="10"/>
            <rFont val="Tahoma"/>
            <family val="2"/>
          </rPr>
          <t xml:space="preserve">4 </t>
        </r>
        <r>
          <rPr>
            <b/>
            <sz val="15"/>
            <rFont val="Tahoma"/>
            <family val="2"/>
          </rPr>
          <t>- стенд-остров (открытый с 4-х сторон).</t>
        </r>
      </text>
    </comment>
    <comment ref="I34" authorId="0">
      <text>
        <r>
          <rPr>
            <b/>
            <sz val="15"/>
            <color indexed="10"/>
            <rFont val="Tahoma"/>
            <family val="2"/>
          </rPr>
          <t>Если ваш стенд имеет второй этаж, 
укажите размер площади 
второго этажа.</t>
        </r>
        <r>
          <rPr>
            <sz val="10"/>
            <rFont val="Tahoma"/>
            <family val="0"/>
          </rPr>
          <t xml:space="preserve">
</t>
        </r>
      </text>
    </comment>
    <comment ref="F34" authorId="0">
      <text>
        <r>
          <rPr>
            <b/>
            <sz val="15"/>
            <color indexed="10"/>
            <rFont val="Tahoma"/>
            <family val="2"/>
          </rPr>
          <t>Заполните предварительную заявку стр.2</t>
        </r>
        <r>
          <rPr>
            <sz val="10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15"/>
            <color indexed="10"/>
            <rFont val="Tahoma"/>
            <family val="2"/>
          </rPr>
          <t>Заполните предварительную заявку стр.2</t>
        </r>
        <r>
          <rPr>
            <sz val="10"/>
            <rFont val="Tahoma"/>
            <family val="0"/>
          </rPr>
          <t xml:space="preserve">
</t>
        </r>
      </text>
    </comment>
    <comment ref="K46" authorId="1">
      <text>
        <r>
          <rPr>
            <b/>
            <sz val="12"/>
            <color indexed="10"/>
            <rFont val="Tahoma"/>
            <family val="2"/>
          </rPr>
          <t>Заполните Приложение №1</t>
        </r>
        <r>
          <rPr>
            <sz val="8"/>
            <rFont val="Tahoma"/>
            <family val="0"/>
          </rPr>
          <t xml:space="preserve">
</t>
        </r>
      </text>
    </comment>
    <comment ref="K47" authorId="1">
      <text>
        <r>
          <rPr>
            <b/>
            <sz val="12"/>
            <color indexed="10"/>
            <rFont val="Tahoma"/>
            <family val="2"/>
          </rPr>
          <t>Заполните Приложение №2</t>
        </r>
        <r>
          <rPr>
            <sz val="8"/>
            <rFont val="Tahoma"/>
            <family val="0"/>
          </rPr>
          <t xml:space="preserve">
</t>
        </r>
      </text>
    </comment>
    <comment ref="K48" authorId="1">
      <text>
        <r>
          <rPr>
            <b/>
            <sz val="12"/>
            <color indexed="10"/>
            <rFont val="Tahoma"/>
            <family val="2"/>
          </rPr>
          <t>Заполните Приложение №3</t>
        </r>
        <r>
          <rPr>
            <sz val="8"/>
            <rFont val="Tahoma"/>
            <family val="0"/>
          </rPr>
          <t xml:space="preserve">
</t>
        </r>
      </text>
    </comment>
    <comment ref="K49" authorId="1">
      <text>
        <r>
          <rPr>
            <b/>
            <sz val="12"/>
            <color indexed="10"/>
            <rFont val="Tahoma"/>
            <family val="2"/>
          </rPr>
          <t>Заполните Приложение №4</t>
        </r>
        <r>
          <rPr>
            <sz val="8"/>
            <rFont val="Tahoma"/>
            <family val="0"/>
          </rPr>
          <t xml:space="preserve">
</t>
        </r>
      </text>
    </comment>
    <comment ref="K50" authorId="1">
      <text>
        <r>
          <rPr>
            <b/>
            <sz val="12"/>
            <color indexed="10"/>
            <rFont val="Tahoma"/>
            <family val="2"/>
          </rPr>
          <t>Заполните Приложение №5</t>
        </r>
        <r>
          <rPr>
            <sz val="8"/>
            <rFont val="Tahoma"/>
            <family val="0"/>
          </rPr>
          <t xml:space="preserve">
</t>
        </r>
      </text>
    </comment>
    <comment ref="K51" authorId="1">
      <text>
        <r>
          <rPr>
            <b/>
            <sz val="12"/>
            <color indexed="10"/>
            <rFont val="Tahoma"/>
            <family val="2"/>
          </rPr>
          <t>Заполните Приложение №6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15"/>
            <color indexed="10"/>
            <rFont val="Tahoma"/>
            <family val="2"/>
          </rPr>
          <t>Заполните предварительную заявку стр.2</t>
        </r>
      </text>
    </comment>
    <comment ref="G61" authorId="0">
      <text>
        <r>
          <rPr>
            <b/>
            <sz val="15"/>
            <color indexed="10"/>
            <rFont val="Tahoma"/>
            <family val="2"/>
          </rPr>
          <t>Заполните предварительную заявку стр.2</t>
        </r>
        <r>
          <rPr>
            <sz val="10"/>
            <rFont val="Tahoma"/>
            <family val="0"/>
          </rPr>
          <t xml:space="preserve">
</t>
        </r>
      </text>
    </comment>
    <comment ref="K52" authorId="1">
      <text>
        <r>
          <rPr>
            <b/>
            <sz val="12"/>
            <color indexed="10"/>
            <rFont val="Tahoma"/>
            <family val="2"/>
          </rPr>
          <t>Заполните Приложение №7</t>
        </r>
        <r>
          <rPr>
            <sz val="8"/>
            <rFont val="Tahoma"/>
            <family val="0"/>
          </rPr>
          <t xml:space="preserve">
</t>
        </r>
      </text>
    </comment>
    <comment ref="K53" authorId="1">
      <text>
        <r>
          <rPr>
            <b/>
            <sz val="12"/>
            <color indexed="10"/>
            <rFont val="Tahoma"/>
            <family val="2"/>
          </rPr>
          <t>Заполните Приложение №8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открытых сторон:
1 </t>
        </r>
        <r>
          <rPr>
            <b/>
            <sz val="15"/>
            <rFont val="Tahoma"/>
            <family val="2"/>
          </rPr>
          <t>- линейный стенд;</t>
        </r>
        <r>
          <rPr>
            <b/>
            <sz val="15"/>
            <color indexed="10"/>
            <rFont val="Tahoma"/>
            <family val="2"/>
          </rPr>
          <t xml:space="preserve">
2 </t>
        </r>
        <r>
          <rPr>
            <b/>
            <sz val="15"/>
            <rFont val="Tahoma"/>
            <family val="2"/>
          </rPr>
          <t>- угловой стенд (открытый с 2-х сторон);</t>
        </r>
        <r>
          <rPr>
            <b/>
            <sz val="15"/>
            <color indexed="10"/>
            <rFont val="Tahoma"/>
            <family val="2"/>
          </rPr>
          <t xml:space="preserve">
3 </t>
        </r>
        <r>
          <rPr>
            <b/>
            <sz val="15"/>
            <rFont val="Tahoma"/>
            <family val="2"/>
          </rPr>
          <t>- стенд-полуостров (открытый с 3-х сторон);</t>
        </r>
        <r>
          <rPr>
            <sz val="10"/>
            <rFont val="Tahoma"/>
            <family val="0"/>
          </rPr>
          <t xml:space="preserve">
</t>
        </r>
        <r>
          <rPr>
            <b/>
            <sz val="15"/>
            <color indexed="10"/>
            <rFont val="Tahoma"/>
            <family val="2"/>
          </rPr>
          <t xml:space="preserve">4 </t>
        </r>
        <r>
          <rPr>
            <b/>
            <sz val="15"/>
            <rFont val="Tahoma"/>
            <family val="2"/>
          </rPr>
          <t>- стенд-остров (открытый с 4-х сторон)</t>
        </r>
      </text>
    </comment>
    <comment ref="K54" authorId="1">
      <text>
        <r>
          <rPr>
            <b/>
            <sz val="12"/>
            <color indexed="10"/>
            <rFont val="Tahoma"/>
            <family val="2"/>
          </rPr>
          <t>Заполните Приложение №9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15"/>
            <color indexed="10"/>
            <rFont val="Tahoma"/>
            <family val="2"/>
          </rPr>
          <t>Заполните предварительную заявку стр.2</t>
        </r>
        <r>
          <rPr>
            <sz val="10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открытых сторон:
1 </t>
        </r>
        <r>
          <rPr>
            <b/>
            <sz val="15"/>
            <rFont val="Tahoma"/>
            <family val="2"/>
          </rPr>
          <t>- линейный стенд;</t>
        </r>
        <r>
          <rPr>
            <b/>
            <sz val="15"/>
            <color indexed="10"/>
            <rFont val="Tahoma"/>
            <family val="2"/>
          </rPr>
          <t xml:space="preserve">
2 </t>
        </r>
        <r>
          <rPr>
            <b/>
            <sz val="15"/>
            <rFont val="Tahoma"/>
            <family val="2"/>
          </rPr>
          <t>- угловой стенд (открытый с 2-х сторон);</t>
        </r>
        <r>
          <rPr>
            <b/>
            <sz val="15"/>
            <color indexed="10"/>
            <rFont val="Tahoma"/>
            <family val="2"/>
          </rPr>
          <t xml:space="preserve">
3 </t>
        </r>
        <r>
          <rPr>
            <b/>
            <sz val="15"/>
            <rFont val="Tahoma"/>
            <family val="2"/>
          </rPr>
          <t>- стенд-полуостров (открытый с 3-х сторон);</t>
        </r>
        <r>
          <rPr>
            <sz val="10"/>
            <rFont val="Tahoma"/>
            <family val="0"/>
          </rPr>
          <t xml:space="preserve">
</t>
        </r>
        <r>
          <rPr>
            <b/>
            <sz val="15"/>
            <color indexed="10"/>
            <rFont val="Tahoma"/>
            <family val="2"/>
          </rPr>
          <t xml:space="preserve">4 </t>
        </r>
        <r>
          <rPr>
            <b/>
            <sz val="15"/>
            <rFont val="Tahoma"/>
            <family val="2"/>
          </rPr>
          <t>- стенд-остров (открытый с 4-х сторон).</t>
        </r>
      </text>
    </comment>
    <comment ref="K55" authorId="1">
      <text>
        <r>
          <rPr>
            <b/>
            <sz val="12"/>
            <color indexed="10"/>
            <rFont val="Tahoma"/>
            <family val="2"/>
          </rPr>
          <t>Заполните Приложение №10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sz val="15"/>
            <color indexed="10"/>
            <rFont val="Tahoma"/>
            <family val="2"/>
          </rPr>
          <t>Заполните предварительную заявку стр.2</t>
        </r>
        <r>
          <rPr>
            <sz val="10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открытых сторон:
1 </t>
        </r>
        <r>
          <rPr>
            <b/>
            <sz val="15"/>
            <rFont val="Tahoma"/>
            <family val="2"/>
          </rPr>
          <t>- линейный стенд;</t>
        </r>
        <r>
          <rPr>
            <b/>
            <sz val="15"/>
            <color indexed="10"/>
            <rFont val="Tahoma"/>
            <family val="2"/>
          </rPr>
          <t xml:space="preserve">
2 </t>
        </r>
        <r>
          <rPr>
            <b/>
            <sz val="15"/>
            <rFont val="Tahoma"/>
            <family val="2"/>
          </rPr>
          <t>- угловой стенд (открытый с 2-х сторон);</t>
        </r>
        <r>
          <rPr>
            <b/>
            <sz val="15"/>
            <color indexed="10"/>
            <rFont val="Tahoma"/>
            <family val="2"/>
          </rPr>
          <t xml:space="preserve">
3 </t>
        </r>
        <r>
          <rPr>
            <b/>
            <sz val="15"/>
            <rFont val="Tahoma"/>
            <family val="2"/>
          </rPr>
          <t>- стенд-полуостров (открытый с 3-х сторон);</t>
        </r>
        <r>
          <rPr>
            <sz val="10"/>
            <rFont val="Tahoma"/>
            <family val="0"/>
          </rPr>
          <t xml:space="preserve">
</t>
        </r>
        <r>
          <rPr>
            <b/>
            <sz val="15"/>
            <color indexed="10"/>
            <rFont val="Tahoma"/>
            <family val="2"/>
          </rPr>
          <t xml:space="preserve">4 </t>
        </r>
        <r>
          <rPr>
            <b/>
            <sz val="15"/>
            <rFont val="Tahoma"/>
            <family val="2"/>
          </rPr>
          <t>- стенд-остров (открытый с 4-х сторон).</t>
        </r>
      </text>
    </comment>
    <comment ref="H40" authorId="0">
      <text>
        <r>
          <rPr>
            <b/>
            <sz val="15"/>
            <color indexed="10"/>
            <rFont val="Tahoma"/>
            <family val="2"/>
          </rPr>
          <t xml:space="preserve">Укажите количество открытых сторон:
1 </t>
        </r>
        <r>
          <rPr>
            <b/>
            <sz val="15"/>
            <rFont val="Tahoma"/>
            <family val="2"/>
          </rPr>
          <t>- линейный стенд;</t>
        </r>
        <r>
          <rPr>
            <b/>
            <sz val="15"/>
            <color indexed="10"/>
            <rFont val="Tahoma"/>
            <family val="2"/>
          </rPr>
          <t xml:space="preserve">
2 </t>
        </r>
        <r>
          <rPr>
            <b/>
            <sz val="15"/>
            <rFont val="Tahoma"/>
            <family val="2"/>
          </rPr>
          <t>- угловой стенд (открытый с 2-х сторон);</t>
        </r>
        <r>
          <rPr>
            <b/>
            <sz val="15"/>
            <color indexed="10"/>
            <rFont val="Tahoma"/>
            <family val="2"/>
          </rPr>
          <t xml:space="preserve">
3 </t>
        </r>
        <r>
          <rPr>
            <b/>
            <sz val="15"/>
            <rFont val="Tahoma"/>
            <family val="2"/>
          </rPr>
          <t>- стенд-полуостров (открытый с 3-х сторон);</t>
        </r>
        <r>
          <rPr>
            <sz val="10"/>
            <rFont val="Tahoma"/>
            <family val="0"/>
          </rPr>
          <t xml:space="preserve">
</t>
        </r>
        <r>
          <rPr>
            <b/>
            <sz val="15"/>
            <color indexed="10"/>
            <rFont val="Tahoma"/>
            <family val="2"/>
          </rPr>
          <t xml:space="preserve">4 </t>
        </r>
        <r>
          <rPr>
            <b/>
            <sz val="15"/>
            <rFont val="Tahoma"/>
            <family val="2"/>
          </rPr>
          <t>- стенд-остров (открытый с 4-х сторон).</t>
        </r>
      </text>
    </comment>
    <comment ref="I40" authorId="0">
      <text>
        <r>
          <rPr>
            <b/>
            <sz val="15"/>
            <color indexed="10"/>
            <rFont val="Tahoma"/>
            <family val="2"/>
          </rPr>
          <t>Если ваш стенд имеет второй этаж, 
укажите размер площади 
второго этажа.</t>
        </r>
        <r>
          <rPr>
            <sz val="10"/>
            <rFont val="Tahoma"/>
            <family val="0"/>
          </rPr>
          <t xml:space="preserve">
</t>
        </r>
      </text>
    </comment>
    <comment ref="F40" authorId="0">
      <text>
        <r>
          <rPr>
            <b/>
            <sz val="15"/>
            <color indexed="10"/>
            <rFont val="Tahoma"/>
            <family val="2"/>
          </rPr>
          <t>Заполните предварительную заявку стр.2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Glebov</author>
  </authors>
  <commentList>
    <comment ref="I27" authorId="0">
      <text>
        <r>
          <rPr>
            <b/>
            <sz val="16"/>
            <color indexed="10"/>
            <rFont val="Tahoma"/>
            <family val="2"/>
          </rPr>
          <t>Заполните Заявку стр.2</t>
        </r>
      </text>
    </comment>
    <comment ref="I28" authorId="0">
      <text>
        <r>
          <rPr>
            <b/>
            <sz val="16"/>
            <color indexed="10"/>
            <rFont val="Tahoma"/>
            <family val="2"/>
          </rPr>
          <t>Заполните Заявку стр.2</t>
        </r>
      </text>
    </comment>
    <comment ref="L29" authorId="0">
      <text>
        <r>
          <rPr>
            <b/>
            <sz val="16"/>
            <color indexed="10"/>
            <rFont val="Tahoma"/>
            <family val="2"/>
          </rPr>
          <t>Заполните заявку №1
на дополнительное оборудование</t>
        </r>
      </text>
    </comment>
  </commentList>
</comments>
</file>

<file path=xl/comments9.xml><?xml version="1.0" encoding="utf-8"?>
<comments xmlns="http://schemas.openxmlformats.org/spreadsheetml/2006/main">
  <authors>
    <author>A-glebov</author>
  </authors>
  <commentList>
    <comment ref="H49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подключений.</t>
        </r>
        <r>
          <rPr>
            <b/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Для оборудованных стендов:</t>
        </r>
        <r>
          <rPr>
            <b/>
            <sz val="10"/>
            <rFont val="Tahoma"/>
            <family val="0"/>
          </rPr>
          <t xml:space="preserve"> цена включает стоимость 
шлангов для подвода и слива воды и подключения 
мойки или кухонного узла (заказываются и оплачиваются дополнительно).
</t>
        </r>
        <r>
          <rPr>
            <b/>
            <sz val="10"/>
            <color indexed="10"/>
            <rFont val="Tahoma"/>
            <family val="2"/>
          </rPr>
          <t>Для необорудованных стендов:</t>
        </r>
        <r>
          <rPr>
            <b/>
            <sz val="10"/>
            <rFont val="Tahoma"/>
            <family val="0"/>
          </rPr>
          <t xml:space="preserve"> цена не включает стоимость шлангов 
для подвода и слива воды и стоимость подключения оборудования 
Участника на территории стенда.
</t>
        </r>
        <r>
          <rPr>
            <sz val="10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26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45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15"/>
            <color indexed="10"/>
            <rFont val="Tahoma"/>
            <family val="2"/>
          </rPr>
          <t>Указывается автоматически</t>
        </r>
        <r>
          <rPr>
            <b/>
            <sz val="10"/>
            <rFont val="Tahoma"/>
            <family val="0"/>
          </rPr>
          <t xml:space="preserve">
При заказе выставочной площади в павильоне
либо заказе стенда "АВТО" при предоставлении площади 
для демонстрации крупногабаритных экспонатов в павильоне.</t>
        </r>
        <r>
          <rPr>
            <sz val="10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15"/>
            <color indexed="10"/>
            <rFont val="Tahoma"/>
            <family val="2"/>
          </rPr>
          <t>Укажите количество подключений 
данной мощности.</t>
        </r>
        <r>
          <rPr>
            <b/>
            <sz val="10"/>
            <rFont val="Tahoma"/>
            <family val="0"/>
          </rPr>
          <t xml:space="preserve">
Цена не включает стоимость электрощита и кабеля 
для подключения к раздаточной коробке.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<sst xmlns="http://schemas.openxmlformats.org/spreadsheetml/2006/main" count="1990" uniqueCount="1136">
  <si>
    <t>Участник, заказавший необорудованную площадь, должен иметь на своем стенде электрическую раздаточную коробку, электрический щиток с защитными автоматами, а также кабель соответствующего нагрузке сечения (не менее 25 п.м.) для подключения электрооборудования Участника к источнику электроэнергии. Также необходимо получить разрешение у проверяющих структур выставочного комплекса "ЕреванЭКСПО" на проведение электрической разводки на стенде.</t>
  </si>
  <si>
    <t xml:space="preserve">1. ЗАО "ОВК "БИЗОН" оказывает услуги по обеспечению участия Участника в конкурсной программе выставки, а Участник обязуется своевременно оплатить услуги и принять их выполнение, а также соблюдать условия Участия в конкурсной программе. 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</si>
  <si>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</si>
  <si>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</si>
  <si>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</si>
  <si>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</si>
  <si>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</si>
  <si>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</si>
  <si>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</si>
  <si>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</si>
  <si>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</si>
  <si>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</si>
  <si>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</si>
  <si>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</si>
  <si>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</si>
  <si>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</si>
  <si>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</si>
  <si>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</si>
  <si>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</si>
  <si>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</si>
  <si>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</si>
  <si>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</si>
  <si>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</si>
  <si>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</si>
  <si>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</si>
  <si>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r>
      <t xml:space="preserve">СЖАТЫЙ ВОЗДУХ </t>
    </r>
    <r>
      <rPr>
        <sz val="10"/>
        <rFont val="Arial Narrow"/>
        <family val="2"/>
      </rPr>
      <t>на этажах 1, 2 и 3</t>
    </r>
  </si>
  <si>
    <t>129223, г. Москва, пр. Мира, д. 119, стр. 69</t>
  </si>
  <si>
    <t>Юридический адрес: 129223, г. Москва, пр. Мира, д. 119, стр. 69</t>
  </si>
  <si>
    <t>Персональные пропуска. Пропуска на автотранспорт</t>
  </si>
  <si>
    <t>ХОСТЕС</t>
  </si>
  <si>
    <t>МОДЕЛЬ</t>
  </si>
  <si>
    <t>ПРОМОУТЕР</t>
  </si>
  <si>
    <t>Промоутер</t>
  </si>
  <si>
    <t>БАРМЕН. ОФИЦИАНТ</t>
  </si>
  <si>
    <t>Телекоммуникации. Презентационное оборудование на стенде</t>
  </si>
  <si>
    <t>ЧИСТАЯ ВОДА</t>
  </si>
  <si>
    <t>Кол-во часов</t>
  </si>
  <si>
    <t>Кол-во дней</t>
  </si>
  <si>
    <t>Охранник дневной (за 1 день: с 10.00 до 18.00)</t>
  </si>
  <si>
    <t xml:space="preserve">Заместитель генерального директора </t>
  </si>
  <si>
    <t>Маричев Николай Сергеевич</t>
  </si>
  <si>
    <t>доб.204</t>
  </si>
  <si>
    <t>доб.210</t>
  </si>
  <si>
    <t>тлф. (495) 937-40-81 (доб. 200) </t>
  </si>
  <si>
    <t>81 доб. 204</t>
  </si>
  <si>
    <t xml:space="preserve"> Дирекция выставки</t>
  </si>
  <si>
    <t>Ходак Лариса Викторовна</t>
  </si>
  <si>
    <t>В соответствии с Условиями участия за дополнительную оплату вам предоставляется:</t>
  </si>
  <si>
    <t>наименование мероприятия</t>
  </si>
  <si>
    <r>
      <t>1.</t>
    </r>
    <r>
      <rPr>
        <b/>
        <sz val="20"/>
        <color indexed="9"/>
        <rFont val="Arial Narrow"/>
        <family val="2"/>
      </rPr>
      <t>1</t>
    </r>
  </si>
  <si>
    <t>МАКЕТ СТЕНДА</t>
  </si>
  <si>
    <r>
      <t>Заявка №2</t>
    </r>
    <r>
      <rPr>
        <sz val="14"/>
        <rFont val="Arial Narrow"/>
        <family val="2"/>
      </rPr>
      <t xml:space="preserve"> </t>
    </r>
  </si>
  <si>
    <t>2м</t>
  </si>
  <si>
    <t>1м</t>
  </si>
  <si>
    <t>Начертите схему стенда. Укажите открытые стороны, предоставленные и заказанные элементы конструкций стенда, а также дополнительное оборудование (стены, мебель, розетки, осветительные приборы и т.п.). Для обозначения используйте код, указанный слева от наименования оборудования в заявке №1.1 к Приложению №1 Договора на участие.</t>
  </si>
  <si>
    <t>ДОВЕРЕННОСТЬ</t>
  </si>
  <si>
    <t>8-11 кв.м</t>
  </si>
  <si>
    <t>Бутыль с водой (19 л)</t>
  </si>
  <si>
    <t>cctv@b95.ru</t>
  </si>
  <si>
    <t>6. Участник обязуется вернуть оборудование, используемое при оформлении, в исправном состоянии по окончании работы выставки. В случае утраты или порчи этого оборудования по вине Участника Участник возмещает  ЗАО "ОВК "БИЗОН" стоимость утраченного (испорченного) имущества. Участник несет полную ответственность за сохранность материалов и не имеет права передавать его третьим лицам.</t>
  </si>
  <si>
    <t xml:space="preserve">7. Участник обязуется предоставить ЗАО "ОВК "БИЗОН" схему стенда с расположением элементов стандартного выставочного </t>
  </si>
  <si>
    <t>V</t>
  </si>
  <si>
    <t>Булычева Елена Викторовна</t>
  </si>
  <si>
    <t>доб. 243</t>
  </si>
  <si>
    <t>ВНИМАНИЕ ! В СООТВЕТСТВИИ С ОТДЕЛЬНЫМ ДОГОВОРОМ ВЫ МОЖЕТЕ ЗАКАЗАТЬ РАЗЛИЧНЫЕ РЕКЛАМНЫЕ УСЛУГИ</t>
  </si>
  <si>
    <t>Формы 1а, 1б, 1в</t>
  </si>
  <si>
    <t>Форма 1г</t>
  </si>
  <si>
    <r>
      <t xml:space="preserve">ПРИЛОЖЕНИЕ №3 </t>
    </r>
    <r>
      <rPr>
        <sz val="9"/>
        <rFont val="Arial Narrow"/>
        <family val="2"/>
      </rPr>
      <t>/Дополнительное соглашение/</t>
    </r>
  </si>
  <si>
    <t>Временный персонал</t>
  </si>
  <si>
    <t>По Приложению №8</t>
  </si>
  <si>
    <t>В соответствии с приложениями к договору предоставляются:</t>
  </si>
  <si>
    <t>Для размещения в алфавитном списке укажите букву латинского алфавита</t>
  </si>
  <si>
    <t>Для размещения в алфавитном списке укажите букву русского алфавита</t>
  </si>
  <si>
    <r>
      <t xml:space="preserve">8. Согласно п.п. 4.2 Договора на участие настоящее Приложение, оформленное не в день подписания Договора, имеет силу </t>
    </r>
    <r>
      <rPr>
        <b/>
        <i/>
        <sz val="9"/>
        <rFont val="Arial Narrow"/>
        <family val="2"/>
      </rPr>
      <t>Дополнительного соглашения</t>
    </r>
    <r>
      <rPr>
        <sz val="9"/>
        <rFont val="Arial Narrow"/>
        <family val="2"/>
      </rPr>
      <t xml:space="preserve"> к договору. В этом случае общая сумма договора изменяется на фактическую стоимость оказанных услуг по настоящему Приложению к договору и фиксируется в акте приема/сдачи выполненных работ (оказанных услуг). </t>
    </r>
  </si>
  <si>
    <t>ИТОГО ПО ЗАЯВКЕ, руб</t>
  </si>
  <si>
    <t>НДС (18%), руб</t>
  </si>
  <si>
    <t>ИТОГО К ОПЛАТЕ ПО ЗАЯВКЕ, руб</t>
  </si>
  <si>
    <t>5.Дополнительные заказы и изменения на оказание услуг принимаются ЗАО "ОВК "БИЗОН" с учетом срока подачи заявки, наличия оборудования и материалов, и оплачиваются Участником дополнительно по ставкам ЗАО "ОВК "БИЗОН".</t>
  </si>
  <si>
    <t xml:space="preserve">* ИТОГО К ОПЛАТЕ ПО ДОГОВОРУ, С УЧЕТОМ НДС  (руб) </t>
  </si>
  <si>
    <t>настоящего Договора, в рублях РФ.</t>
  </si>
  <si>
    <t xml:space="preserve">Итого по приложению, руб:    </t>
  </si>
  <si>
    <t xml:space="preserve">НДС (18%),  руб:    </t>
  </si>
  <si>
    <t>Итого к оплате по приложению, руб:</t>
  </si>
  <si>
    <t>6. Участник обязуется вернуть оборудование, используемое при оформлении, в исправном состоянии по окончании работы выставки. В случае утраты или порчи этого оборудования по вине Участника Участник возмещает ЗАО "ОВК "БИЗОН" стоимость утраченного (испорченного) имущества. Участник несет полную ответственность за сохранность материалов и не имеет права передавать его третьим лицам.</t>
  </si>
  <si>
    <r>
      <t xml:space="preserve">7. Согласно п.п. 4.2 Договора на участие настоящее Приложение, оформленное не в день подписания Договора, имеет силу </t>
    </r>
    <r>
      <rPr>
        <b/>
        <i/>
        <sz val="10"/>
        <rFont val="Arial Narrow"/>
        <family val="2"/>
      </rPr>
      <t>Дополнительного соглашения</t>
    </r>
    <r>
      <rPr>
        <sz val="10"/>
        <rFont val="Arial Narrow"/>
        <family val="2"/>
      </rPr>
      <t xml:space="preserve"> к договору. В этом случае общая сумма договора изменяется на фактическую стоимость оказанных услуг по настоящему Приложению к договору и фиксируется в акте приема/сдачи выполненных работ (оказанных услуг).  </t>
    </r>
  </si>
  <si>
    <t>8. Настоящее Приложение составлено в двух экземплярах, имеющих одинаковую юридическую силу, по одному для каждой из сторон, является неотъемлемой частью Договора и вступает в силу с даты подписания обеими сторонами.</t>
  </si>
  <si>
    <t>Цена руб</t>
  </si>
  <si>
    <t>Итого руб</t>
  </si>
  <si>
    <t>Цена  руб</t>
  </si>
  <si>
    <t>Итого  руб</t>
  </si>
  <si>
    <t>Цена руб за 1 кв.м.</t>
  </si>
  <si>
    <t xml:space="preserve">Цена руб. за 1 знак  </t>
  </si>
  <si>
    <t>Стоимость
руб</t>
  </si>
  <si>
    <t xml:space="preserve">*Доплата руб </t>
  </si>
  <si>
    <t>Всего руб без НДС</t>
  </si>
  <si>
    <t>Цена руб 
за 1 м2</t>
  </si>
  <si>
    <t xml:space="preserve">Цена руб 
</t>
  </si>
  <si>
    <t>Итого руб 
без НДС</t>
  </si>
  <si>
    <t>Цена  руб в день/ ночь</t>
  </si>
  <si>
    <t>Цена руб за все дни выставки</t>
  </si>
  <si>
    <t>Цена руб в день</t>
  </si>
  <si>
    <t xml:space="preserve">Итого по приложению,  руб:    </t>
  </si>
  <si>
    <t xml:space="preserve">НДС (18%),  руб:   </t>
  </si>
  <si>
    <t xml:space="preserve">НДС (18%), руб:    </t>
  </si>
  <si>
    <r>
      <t xml:space="preserve">4. Согласно п.п. 4.2 Договора на участие настоящее Приложение, оформленное не в день подписания Договора, имеет силу </t>
    </r>
    <r>
      <rPr>
        <b/>
        <i/>
        <sz val="10"/>
        <rFont val="Arial Narrow"/>
        <family val="2"/>
      </rPr>
      <t>Дополнительного соглашения</t>
    </r>
    <r>
      <rPr>
        <sz val="10"/>
        <rFont val="Arial Narrow"/>
        <family val="2"/>
      </rPr>
      <t xml:space="preserve"> к договору. В этом случае общая сумма договора изменяется на фактическую стоимость оказанных услуг по настоящему Приложению к договору и фиксируется в акте приема/сдачи выполненных работ (оказанных услуг). </t>
    </r>
  </si>
  <si>
    <t xml:space="preserve">5. Настоящее Приложение составлено в двух экземплярах, имеющих одинаковую юридическую силу, по одному для каждой из сторон, является неотъемлемой частью Договора и вступает в силу с даты подписания обеими сторонами. </t>
  </si>
  <si>
    <t xml:space="preserve">   НДС (18%),  (руб) :    </t>
  </si>
  <si>
    <t xml:space="preserve">Итого по приложению, руб:  </t>
  </si>
  <si>
    <t xml:space="preserve">Итого руб </t>
  </si>
  <si>
    <t>Цена руб за период работы выставки</t>
  </si>
  <si>
    <t xml:space="preserve">Цена руб </t>
  </si>
  <si>
    <t>Цена руб за 1 час</t>
  </si>
  <si>
    <t>Цена руб за 1 день за 1 кв.м.</t>
  </si>
  <si>
    <t>Цена руб за 1 час за 1 кв.м.</t>
  </si>
  <si>
    <t xml:space="preserve">НДС (18%), руб :    </t>
  </si>
  <si>
    <t>Цена руб за образец</t>
  </si>
  <si>
    <t xml:space="preserve">Скидка руб </t>
  </si>
  <si>
    <t xml:space="preserve">Окончательный срок приема предварительных заявок </t>
  </si>
  <si>
    <t xml:space="preserve">Заполненная заявка направляется по адресу: Россия, 129223, Москва, а/я 10, по факсу (495) 937-40-81, </t>
  </si>
  <si>
    <t>Р/счет №:</t>
  </si>
  <si>
    <t>2. Услуги, предоставляемые Участнику. Цена договора.</t>
  </si>
  <si>
    <r>
      <t>Вернуть:</t>
    </r>
    <r>
      <rPr>
        <i/>
        <sz val="9"/>
        <rFont val="Arial Narrow"/>
        <family val="2"/>
      </rPr>
      <t xml:space="preserve"> </t>
    </r>
  </si>
  <si>
    <t>Представить до</t>
  </si>
  <si>
    <r>
      <t xml:space="preserve">СТАНДАРТНЫЕ СТЕНДЫ </t>
    </r>
    <r>
      <rPr>
        <b/>
        <sz val="12"/>
        <rFont val="Arial Narrow"/>
        <family val="2"/>
      </rPr>
      <t xml:space="preserve">
</t>
    </r>
    <r>
      <rPr>
        <sz val="12"/>
        <rFont val="Arial Narrow"/>
        <family val="2"/>
      </rPr>
      <t>И ДОПОЛНИТЕЛЬНОЕ ОБОРУДОВАНИЕ</t>
    </r>
  </si>
  <si>
    <t>НЕСТАНДАРТНЫЙ СТЕНД В ПАВИЛЬОНЕ</t>
  </si>
  <si>
    <t>СТАНДАРТНЫЙ СТЕНД В ПАВИЛЬОНЕ</t>
  </si>
  <si>
    <t>ОТКРЫТАЯ ВЫСТАВОЧНАЯ ПЛОЩАДЬ</t>
  </si>
  <si>
    <t>АУДИО, ВИДЕО, ОБОРУДОВАНИЕ НА СТЕНДЕ</t>
  </si>
  <si>
    <t>ПРЕЗЕНТАЦИОННОЕ ОБОРУДОВАНИЕ НА СТЕНДЕ</t>
  </si>
  <si>
    <t>5. Предоставление аудио-видео и презентационного оборудования на стенд Участника</t>
  </si>
  <si>
    <t>Количество дней</t>
  </si>
  <si>
    <t>подвес</t>
  </si>
  <si>
    <t>3. Предоставление Участнику услуг переводчика, помощников на стенде и другого персонала:</t>
  </si>
  <si>
    <t>ВРЕМЕННЫЙ ПЕРСОНАЛ</t>
  </si>
  <si>
    <t xml:space="preserve">Без знания иностранного языка </t>
  </si>
  <si>
    <t>Бармен без знания иностранного языка</t>
  </si>
  <si>
    <t>Официант без знания иностранного языка</t>
  </si>
  <si>
    <t xml:space="preserve">Стендист без знания иностранного языка </t>
  </si>
  <si>
    <t>1. ЗАО "ОВК "БИЗОН" оказывает услуги по обеспечению Участника дополнительным персоналом, а Участник обязуется своевременно оплатить услуги и принять их выполнение. Неполный рабочий день персонала оплачивается как полный.</t>
  </si>
  <si>
    <r>
      <t>ПРИЛОЖЕНИЕ №8</t>
    </r>
    <r>
      <rPr>
        <sz val="12"/>
        <rFont val="Arial Narrow"/>
        <family val="2"/>
      </rPr>
      <t xml:space="preserve"> </t>
    </r>
    <r>
      <rPr>
        <sz val="9"/>
        <rFont val="Arial Narrow"/>
        <family val="2"/>
      </rPr>
      <t>/Дополнительное соглашение/</t>
    </r>
  </si>
  <si>
    <r>
      <t xml:space="preserve">ПРИЛОЖЕНИЕ №7 </t>
    </r>
    <r>
      <rPr>
        <sz val="9"/>
        <rFont val="Arial Narrow"/>
        <family val="2"/>
      </rPr>
      <t>/Дополнительное соглашение/</t>
    </r>
  </si>
  <si>
    <t xml:space="preserve">Договора если Сторонами не согласованы другие сроки оплаты. В случае просрочки платежа ЗАО "ОВК "БИЗОН" вправе </t>
  </si>
  <si>
    <t xml:space="preserve">путем перечисления денежных средств на расчетный счет ЗАО "ОВК "БИЗОН" в соответствии со сроками, установленными в п. 4.3 </t>
  </si>
  <si>
    <t xml:space="preserve">9. Настоящее Приложение составлено в двух экземплярах, имеющих одинаковую юридическую силу, по одному для каждой из сторон, является неотъемлемой частью Договора и вступает в силу с даты подписания обеими сторонами. </t>
  </si>
  <si>
    <t xml:space="preserve"> +7 (495) 937-40-81, доб.222</t>
  </si>
  <si>
    <t>Герасимова Ирина Ивановна</t>
  </si>
  <si>
    <t>gerasimova@b95.ru</t>
  </si>
  <si>
    <t>Федорова Людмила Анатольевна</t>
  </si>
  <si>
    <t>Михайлина Марина Сергеевна</t>
  </si>
  <si>
    <t>(495) 937-40-81, доб.230</t>
  </si>
  <si>
    <t>Стоянова Ирина Анатольевна</t>
  </si>
  <si>
    <t>(495) 937-40-81 доб. 213</t>
  </si>
  <si>
    <t>Волкова Ирина Александровна</t>
  </si>
  <si>
    <t>(495) 980 11 21, доб 115</t>
  </si>
  <si>
    <t>Пекарева Ольга Анатольевна</t>
  </si>
  <si>
    <t>(495) 980 11 21</t>
  </si>
  <si>
    <t>Ясаков Евгений Михайлович</t>
  </si>
  <si>
    <t>(499) 681 33 83, доб. 325</t>
  </si>
  <si>
    <t>Белехова Марина Сергеевна</t>
  </si>
  <si>
    <t>(495) 937-40-81, доб.218</t>
  </si>
  <si>
    <t>Виноградова Ксения Владимировна</t>
  </si>
  <si>
    <t>(499) 681 33 83, доб. 323</t>
  </si>
  <si>
    <t>с10 по 16 октября 2016 г.</t>
  </si>
  <si>
    <t>с 13 по 15 октября 2016 г.</t>
  </si>
  <si>
    <t>с 12 по 16 октября 2016 г.</t>
  </si>
  <si>
    <t>с10 по 12 октября 2016 г. с 8.00 до 20.00</t>
  </si>
  <si>
    <t>12 октября 2016 г. с 9.00 до 18.00</t>
  </si>
  <si>
    <t>с 16.00 до 20.00 15 октября 2016 г. и с 8.00 до 20.00 16 октября 2016 года.</t>
  </si>
  <si>
    <t>1 сентября 2016 года</t>
  </si>
  <si>
    <t>14 сентября 2016 г.</t>
  </si>
  <si>
    <t>20 июля 2016 г.</t>
  </si>
  <si>
    <t>Датой выполнения услуги ЗАО "ОВК "БИЗОН" является последний день работы выставки 15.10.2016 г.</t>
  </si>
  <si>
    <t>работа выставки 13-15 октября 2016 года</t>
  </si>
  <si>
    <t>Пропуск категории "Участник" (10-16.10.16)</t>
  </si>
  <si>
    <t>Пропуск категории "VIP" (13-15.10.16)</t>
  </si>
  <si>
    <t>14 августа 2016 года</t>
  </si>
  <si>
    <t>работа выставки 13 по 15 октября 2016 года</t>
  </si>
  <si>
    <t>Элемент стены (наполнитель) 2.5 (h) х 0.5 м</t>
  </si>
  <si>
    <t>Элемент стены (наполнитель) 2.5 (h) х 1.0 м</t>
  </si>
  <si>
    <t>028</t>
  </si>
  <si>
    <t>029</t>
  </si>
  <si>
    <t>3. Использование собственного оборудования (за исключением ПК) и персонала, привлечение сторонних организаций для оказания аналогичных услуг запрещены</t>
  </si>
  <si>
    <t xml:space="preserve"> +7 (495) 937-40-81 доб. 231</t>
  </si>
  <si>
    <r>
      <t xml:space="preserve">ЭКСПОНАТЫ
</t>
    </r>
    <r>
      <rPr>
        <b/>
        <sz val="10"/>
        <rFont val="Arial Narrow"/>
        <family val="2"/>
      </rPr>
      <t>ПРОДУКЦИЯ ВОЕННОГО НАЗНАЧЕНИЯ</t>
    </r>
  </si>
  <si>
    <t>Участник гарантирует, что данный перечень не содержит образцов военной техники</t>
  </si>
  <si>
    <t>Представить до:</t>
  </si>
  <si>
    <t>Ваш персональный менеджер в ОВК "БИЗОН"</t>
  </si>
  <si>
    <t xml:space="preserve"> действующий на основании </t>
  </si>
  <si>
    <t xml:space="preserve">настоящей доверенностью уполномочивает </t>
  </si>
  <si>
    <t>Факс:</t>
  </si>
  <si>
    <t>Страна:</t>
  </si>
  <si>
    <t>Адрес:</t>
  </si>
  <si>
    <t xml:space="preserve">УЧАСТНИК: </t>
  </si>
  <si>
    <t>Предварительная заявка на участие в выставках Сети</t>
  </si>
  <si>
    <t>Отметьте знаком “V” выставки ,в которых заинтересовано ваше предприятие</t>
  </si>
  <si>
    <t>Наименование выставочного мероприятия</t>
  </si>
  <si>
    <t>г. Уфа</t>
  </si>
  <si>
    <t>г. Омск</t>
  </si>
  <si>
    <t>г. Екатеринбург</t>
  </si>
  <si>
    <t>г. Хабаровск</t>
  </si>
  <si>
    <t>г. Волгоград</t>
  </si>
  <si>
    <t>г. Нижний Тагил</t>
  </si>
  <si>
    <t>Московская область, 
г. Жуковский</t>
  </si>
  <si>
    <t>15-16 сентября 2011 года</t>
  </si>
  <si>
    <t>Прошу направить в наш адрес условия участия, комплект договорных и заявочных форм по отмеченным мероприятиям.</t>
  </si>
  <si>
    <t>Отметка</t>
  </si>
  <si>
    <t>* Без подключения к источнику электропитания (заказ - см. приложение №2)</t>
  </si>
  <si>
    <t>ДРУГОЕ</t>
  </si>
  <si>
    <t>Укажите, какое оборудование и с помощью чего (розетка или отдельный кабель) планируется подключать с помощью заказанного подключения:</t>
  </si>
  <si>
    <t>Стенд АВТО</t>
  </si>
  <si>
    <t>Заказ указанного в Заявке №1.1 на стр. 1-2 дополнительного оборудования подтверждаю:</t>
  </si>
  <si>
    <t>БИЛЕТЫ НА ОФИЦИАЛЬНЫЙ ПРИЕМ</t>
  </si>
  <si>
    <t>ПРИГЛАСИТЕЛЬНЫЕ БИЛЕТЫ НА СТЕНД УЧАСТНИКА</t>
  </si>
  <si>
    <t>"______" _________________ ____г.</t>
  </si>
  <si>
    <t>образец подписи</t>
  </si>
  <si>
    <t>Образец подписи подтверждаю</t>
  </si>
  <si>
    <t>подпись руководителя организации</t>
  </si>
  <si>
    <r>
      <t>Форма №1</t>
    </r>
    <r>
      <rPr>
        <sz val="14"/>
        <rFont val="Arial Narrow"/>
        <family val="2"/>
      </rPr>
      <t xml:space="preserve"> </t>
    </r>
  </si>
  <si>
    <t>Почтовый адрес:</t>
  </si>
  <si>
    <t>8. Подписи сторон</t>
  </si>
  <si>
    <t>Укажите способ установки</t>
  </si>
  <si>
    <t>Приложение №10</t>
  </si>
  <si>
    <t xml:space="preserve">Деловая программа </t>
  </si>
  <si>
    <t>г. Кемерово</t>
  </si>
  <si>
    <r>
      <t>Примечание:</t>
    </r>
    <r>
      <rPr>
        <sz val="11"/>
        <rFont val="Arial Narrow"/>
        <family val="2"/>
      </rPr>
      <t xml:space="preserve"> Все банковские сборы оплачиваются Участником. Бланк заполняется машинописным текстом, подписывается и заверяется печатью Участника с обязательным приложением (направлением по E-mail, на CD) электронной версии.</t>
    </r>
  </si>
  <si>
    <r>
      <t>ПРИЛОЖЕНИЕ №1</t>
    </r>
    <r>
      <rPr>
        <sz val="12"/>
        <rFont val="Arial Narrow"/>
        <family val="2"/>
      </rPr>
      <t xml:space="preserve"> </t>
    </r>
    <r>
      <rPr>
        <sz val="9"/>
        <rFont val="Arial Narrow"/>
        <family val="2"/>
      </rPr>
      <t>/Дополнительное соглашение/</t>
    </r>
  </si>
  <si>
    <t>По Приложению №9</t>
  </si>
  <si>
    <t>Приложение №9</t>
  </si>
  <si>
    <t xml:space="preserve">Одноразовая уборка 2-го этажа двухэтажного стенда (за 1 кв.м.) </t>
  </si>
  <si>
    <t xml:space="preserve">Одноразовая уборка стенда (за 1 кв.м.) </t>
  </si>
  <si>
    <t>Наименование организации на английском языке:</t>
  </si>
  <si>
    <t>Одноразовая уборка производится один раз в день и предполагает чистку коврового покрытия пола пылесосом, очистку корзин для бумаг</t>
  </si>
  <si>
    <t>Стендист со знанием иностранного языка</t>
  </si>
  <si>
    <t>Со знанием иностранного языка</t>
  </si>
  <si>
    <t xml:space="preserve">Бармен со знанием иностранного языка </t>
  </si>
  <si>
    <t xml:space="preserve">Официант со знанием иностранного языка </t>
  </si>
  <si>
    <t>ПРОЕКЦИОННЫЕ ЭКРАНЫ НА СТЕНДЕ</t>
  </si>
  <si>
    <t>ЗВУКОУСИЛИТКЛЬНОЕ ОБОРУДОВАНИЕ НА СТЕНДЕ</t>
  </si>
  <si>
    <t>Радиомикрофон, за 1 шт.</t>
  </si>
  <si>
    <t>ДОПОЛНИТЕЛЬНОЕ ОБОРУДОВАНИЕ НА СТЕНДЕ</t>
  </si>
  <si>
    <t>ТЕЛЕКОММУНИКАЦИИ. ПРЕЗЕНТАЦИОННОЕ ОБОРУДОВАНИЕ НА СТЕНДЕ</t>
  </si>
  <si>
    <t>Инженерные услуги</t>
  </si>
  <si>
    <r>
      <t>1.</t>
    </r>
    <r>
      <rPr>
        <b/>
        <sz val="20"/>
        <color indexed="9"/>
        <rFont val="Arial Narrow"/>
        <family val="2"/>
      </rPr>
      <t>2</t>
    </r>
  </si>
  <si>
    <t>Полное наименование организации:</t>
  </si>
  <si>
    <t>Сокращенное наименование организации:</t>
  </si>
  <si>
    <t>Интернет:</t>
  </si>
  <si>
    <t>Ниже укажите наименование, которое должно быть указано на фризовой панели (стоимость 10 знаков на каждой открытой стороне стенда ("линейный" -1; "угловой" - 2; "полуостров" - 3; "остров" - 4) включена в стандартную комплектацию стенда)</t>
  </si>
  <si>
    <t xml:space="preserve">к  Приложению №1 к Договору </t>
  </si>
  <si>
    <r>
      <t xml:space="preserve">ДОПОЛНИТЕЛЬНОЕ ОБОРУДОВАНИЕ 
</t>
    </r>
    <r>
      <rPr>
        <sz val="14"/>
        <rFont val="Arial Narrow"/>
        <family val="2"/>
      </rPr>
      <t>(стандартный стенд)</t>
    </r>
  </si>
  <si>
    <t>Кол-во человек</t>
  </si>
  <si>
    <t>ГРАФИЧЕСКИЕ РАБОТЫ</t>
  </si>
  <si>
    <t>3. Предоставление участнику специализированных помещений выставочного центра:</t>
  </si>
  <si>
    <t xml:space="preserve">Количество часов </t>
  </si>
  <si>
    <t>Форма №2</t>
  </si>
  <si>
    <t>Подписывает договор</t>
  </si>
  <si>
    <t>На основании</t>
  </si>
  <si>
    <t>Заполните ячейки, выделенные зеленым цветом.</t>
  </si>
  <si>
    <t>от____ __________ 201_</t>
  </si>
  <si>
    <t>«_____» __________________201_ г.</t>
  </si>
  <si>
    <t>201_</t>
  </si>
  <si>
    <t>«….....»   …………..…. 201_ г.</t>
  </si>
  <si>
    <t>доб. 103</t>
  </si>
  <si>
    <t>Советник Генерального директора</t>
  </si>
  <si>
    <t>доб. 111</t>
  </si>
  <si>
    <t>СВЕРХУРОЧНОЕ ИСПОЛЬЗОВАНИЕ ВЫСТАВОЧНЫХ ПЛОЩАДЕЙ с 20.00 до 8.00 в дни монтажа/ демонтажа</t>
  </si>
  <si>
    <t>1. ЗАО "ОВК "БИЗОН" оказывает услуги по предоставлению выставочной площади в сверхоручное время, а Участник обязуется своевременно оплатить услуги и принять их выполнение.</t>
  </si>
  <si>
    <t>Мультимедийный LCD - проектор, 15000 Lm</t>
  </si>
  <si>
    <t>Экран 600x400</t>
  </si>
  <si>
    <t>1. ЗАО "ОВК "БИЗОН" оказывает услуги по обеспечению Участника дополнительными пропусками для его персонала,  а Участник обязуется своевременно оплатить услуги и принять их выполнение.</t>
  </si>
  <si>
    <t>ПЕРСОНАЛЬНЫЕ ПРОПУСКА.
БИЛЕТЫ.</t>
  </si>
  <si>
    <t>в соотвествии с категорией пропуска</t>
  </si>
  <si>
    <t>№ пав-на/этаж</t>
  </si>
  <si>
    <t>№пав-на/этаж</t>
  </si>
  <si>
    <t>Укажите необходимое количество дополнительных персональных пропусков категории "Участник"  и "VIP" (оплата в соответствии с Приложением №5)</t>
  </si>
  <si>
    <t xml:space="preserve">пропуска категории "Участник" </t>
  </si>
  <si>
    <t>пропуска категории "VIP"</t>
  </si>
  <si>
    <t>марка</t>
  </si>
  <si>
    <t>водитель</t>
  </si>
  <si>
    <t>Автотранспорт на период монтажа/демонтажа (при покупке пропуска категории "Участник" на водителя)</t>
  </si>
  <si>
    <t>гос.номер</t>
  </si>
  <si>
    <t>Беспроводное устройство для управления презентацией</t>
  </si>
  <si>
    <t>Трибуна</t>
  </si>
  <si>
    <t>Валюта договора 1 руб.=</t>
  </si>
  <si>
    <t>Цена (руб.)</t>
  </si>
  <si>
    <t>1 руб. =</t>
  </si>
  <si>
    <t>Оплата производится в рублях РФ</t>
  </si>
  <si>
    <t>Форма №1в</t>
  </si>
  <si>
    <t>Форма №1г</t>
  </si>
  <si>
    <t>Ф1г</t>
  </si>
  <si>
    <t>40702810538000062287</t>
  </si>
  <si>
    <t xml:space="preserve">4.5. Стороны принимают все меры к разрешению споров, возникающих в период деятельности исполнения настоящего Договора, путем переговоров. Стороны настоящего Договора пришли к соглашению о применении к их правам и обязанностям по настоящему Договору права Российской Федерации. При недостижении договоренности путем переговоров споры, возникающие из  настоящего Договора, не урегулированные  в  претензионном порядке, подлежат окончательному урегулированию в соответствии с  законодательством Российской Федерации  в Арбитражном суде г. Москвы. 
</t>
  </si>
  <si>
    <r>
      <t>ВНИМАНИЕ !</t>
    </r>
    <r>
      <rPr>
        <sz val="14"/>
        <rFont val="Arial Narrow"/>
        <family val="2"/>
      </rPr>
      <t xml:space="preserve">
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ПОРЯДОК ЗАПОЛНЕНИЯ:</t>
    </r>
    <r>
      <rPr>
        <sz val="10"/>
        <rFont val="Arial Narrow"/>
        <family val="2"/>
      </rPr>
      <t xml:space="preserve">
Данное приложение оформляется в случае строительства стандартного стенда. 
Вам необходимо выбрать тип стандартного стенда (выбор осуществляется заполнением </t>
    </r>
    <r>
      <rPr>
        <b/>
        <sz val="10"/>
        <rFont val="Arial Narrow"/>
        <family val="2"/>
      </rPr>
      <t>Заявки стр.2</t>
    </r>
    <r>
      <rPr>
        <sz val="10"/>
        <rFont val="Arial Narrow"/>
        <family val="2"/>
      </rPr>
      <t xml:space="preserve"> путем указания размера стенда в соответсвующей выбранному типу стенда ячейке).
При заказе стендов </t>
    </r>
    <r>
      <rPr>
        <b/>
        <sz val="10"/>
        <rFont val="Arial Narrow"/>
        <family val="2"/>
      </rPr>
      <t xml:space="preserve">с улучшенным дизайном </t>
    </r>
    <r>
      <rPr>
        <sz val="10"/>
        <rFont val="Arial Narrow"/>
        <family val="2"/>
      </rPr>
      <t xml:space="preserve">необходима консультация с отделом монтажно-оформительских работ по вопросам, связанным с описанием и различиями в типах данных стедов.
В случае, если Вам необходимо дополнительное оборудование (помимо оборудования, уже входящего в стоимость выбранного вами стенда), необходимо заполнить заявку 1.1. Стоимость выбранных элементов автоматически отобразится в Приложении №1.
</t>
    </r>
    <r>
      <rPr>
        <b/>
        <sz val="10"/>
        <rFont val="Arial Narrow"/>
        <family val="2"/>
      </rPr>
      <t>Благодарим за сотрудничество !</t>
    </r>
  </si>
  <si>
    <t>Необходимо согласовать техническую возможность и стоимость подключения сжатого воздуха.</t>
  </si>
  <si>
    <t>Под сверхурочным использованием выставочных площадей понимается нахождение в павилоне и открытие монтажных ворот в дни монтажа/ демонтажа и работы выставки с 20.00 до 8.00</t>
  </si>
  <si>
    <t>Высокосова Елена Александровна</t>
  </si>
  <si>
    <t xml:space="preserve">ИА "Оружие России"
</t>
  </si>
  <si>
    <t>СТАНДАРТНЫХ СТЕНДОВ</t>
  </si>
  <si>
    <t>Зашивка стен ЛДСП, цвет белый</t>
  </si>
  <si>
    <t>Монтаж банера на конструкцию (без учета конструкции)</t>
  </si>
  <si>
    <t>РЕКЛАМНОЕ ОБОРУДОВАНИЕ ДЛЯ СТЕНДОВ</t>
  </si>
  <si>
    <t>002</t>
  </si>
  <si>
    <t>012</t>
  </si>
  <si>
    <t>026</t>
  </si>
  <si>
    <t>027</t>
  </si>
  <si>
    <t>Необорудованная площадь в 75 павильоне (Зал С)</t>
  </si>
  <si>
    <t xml:space="preserve">Оклейка фризовой панели цветной пленкой </t>
  </si>
  <si>
    <t>доб. 215</t>
  </si>
  <si>
    <t>в соответствии с отдельным планом</t>
  </si>
  <si>
    <t>ИТОГО ПО ДОГОВОРУ ( руб.)</t>
  </si>
  <si>
    <t>НДС (18%) (руб.)</t>
  </si>
  <si>
    <t>* ИТОГО К ОПЛАТЕ ПО ДОГОВОРУ (руб.)</t>
  </si>
  <si>
    <t>1.  ЗАО "ОВК "БИЗОН" оказывает услуги по подключению стенда Участника к источнику электроснабжения, водоснабжения, сжатого воздуха, техническим подвесам, а Участник обязуется своевременно оплатить услуги и принять их выполнение.</t>
  </si>
  <si>
    <t>Представление дополнительных образцов продукции</t>
  </si>
  <si>
    <t>Участие и представление 1 образца продукции</t>
  </si>
  <si>
    <t>с условиями настоящего Договора и выставляемыми ЗАО "ОВК "БИЗОН" счетами.</t>
  </si>
  <si>
    <t>Участие в деловой программе</t>
  </si>
  <si>
    <t>Всего (руб.)</t>
  </si>
  <si>
    <t xml:space="preserve">4.1. В процессе подготовки выставки оформление договора и обмен документами между Участником и ЗАО "ОВК "БИЗОН"  </t>
  </si>
  <si>
    <t xml:space="preserve">сведений несет передающая сторона. Участник обязан представить в ЗАО "ОВК "БИЗОН" подписанные и заверенные печатью </t>
  </si>
  <si>
    <t>ЗАО "ОВК "БИЗОН"</t>
  </si>
  <si>
    <t>1. ЗАО "ОВК "БИЗОН" оказывает услуги по строительству выставочного стенда стандартной комплектации на экспозиции выставки, а Участник обязуется своевременно оплатить услуги и принять их выполнение.</t>
  </si>
  <si>
    <t>Все платежи производятся в российских рублях.</t>
  </si>
  <si>
    <t>в) Срок выполнения работ:</t>
  </si>
  <si>
    <t>в дальнейшем именуемая Участник,</t>
  </si>
  <si>
    <t xml:space="preserve"> +7 (495) 937-40-81, доб. 222</t>
  </si>
  <si>
    <t xml:space="preserve">"Безопасность. Сигнализация. Охрана - Алматы" - Казахстанская международная специализированная выставка </t>
  </si>
  <si>
    <t xml:space="preserve"> "Автоматизация. БЕЗОПАСНОСТЬ. Связь - 2011" - II Специализированная выставка безопасности</t>
  </si>
  <si>
    <t>Организационное обеспечение предоставления выделенного канала доступа в Интернет на скорости до 5 Мб/с, без учета трафика (безлимитный), интерфейс Ethernet</t>
  </si>
  <si>
    <t>Организационное обеспечение предоставления выделенного канала доступа в Интернет на скорости до 10 Мб/с, без учета трафика (безлимитный), интерфейс Ethernet</t>
  </si>
  <si>
    <t>Статический IP-адрес (внешний)</t>
  </si>
  <si>
    <t>WI-FI точка доступа на стенд со скоростью передачи данных до 512 Кб/c на одно устройство</t>
  </si>
  <si>
    <t>Звукоусиление, 2  радиомикрофона на настольной подставке</t>
  </si>
  <si>
    <t>Звукоусиление</t>
  </si>
  <si>
    <t>Микрофон на напольной подставке</t>
  </si>
  <si>
    <t>Микрофон на настольной подставке</t>
  </si>
  <si>
    <t>Плазменная панель 50 " (устанавливается напротив президиума / докладчика)</t>
  </si>
  <si>
    <t>Комплект оборудования для синхронного перевода до 100 участников ( за 1 день)</t>
  </si>
  <si>
    <t>Комплект оборудования для синхронного перевода до 200 участников ( за 1 день)</t>
  </si>
  <si>
    <t>Подключение к штатным системам конференц-зала  аудиовизуального оборудования участника, за единицу оборудования</t>
  </si>
  <si>
    <t>Подключение к микшерному пульту устройств участника, за единицу оборудования</t>
  </si>
  <si>
    <t>"Мир безопасности" - XIII Специализированная выставка безопасности; "СпасПожТех"- XIII Специализированная выставка безопасности</t>
  </si>
  <si>
    <t>17-19 мая 2011 года</t>
  </si>
  <si>
    <t>"Донбасс безопасность-2011" - Специализированная выставка</t>
  </si>
  <si>
    <t>в части взаиморасчетов до полного выполнения сторонами обязательств.</t>
  </si>
  <si>
    <t xml:space="preserve">Участника оригиналы договора и всех Приложений в соответствии со сроками, указанными в Условиях участия и Руководстве </t>
  </si>
  <si>
    <t>Стол квадратный</t>
  </si>
  <si>
    <t>8-915-464-05-01</t>
  </si>
  <si>
    <t>8-916-992-95-74</t>
  </si>
  <si>
    <t>ВСЕГО стоимость выставочной площади:</t>
  </si>
  <si>
    <t xml:space="preserve"> Генеральный директор ЗАО "ОВК "БИЗОН" Маричев Сергей Николаевич</t>
  </si>
  <si>
    <t>доб.200</t>
  </si>
  <si>
    <t>В лице Генерального директора ЗАО "ОВК "БИЗОН"</t>
  </si>
  <si>
    <t>Устава</t>
  </si>
  <si>
    <t xml:space="preserve">Маричев Сергей Николаевич  </t>
  </si>
  <si>
    <t>"БИЗОН"), в лице Генерального директора Маричева Сергея Николаевича, действующего на  основании Устава,</t>
  </si>
  <si>
    <t xml:space="preserve"> с другой стороны, в дальнейшем именуемые - Стороны, заключили настоящий договор о нижеследующем:</t>
  </si>
  <si>
    <t>nikolasserious@gmail.com</t>
  </si>
  <si>
    <t xml:space="preserve">ЗАО "ОВК "БИЗОН" </t>
  </si>
  <si>
    <t>Необорудованная площадь  в павильоне для демонстрации крупногабаритных экспонатов. Залы А, В</t>
  </si>
  <si>
    <t>Необорудованная площадь  в павильоне для демонстрации крупногабаритных экспонатов Залы А, В</t>
  </si>
  <si>
    <t xml:space="preserve">в сроки, установленные в Условиях участия в Выставке.  В случае отказа от участия возврат оплаченных по настоящему </t>
  </si>
  <si>
    <t>доб. 238</t>
  </si>
  <si>
    <r>
      <t xml:space="preserve">ПРИЛОЖЕНИЕ №10 </t>
    </r>
    <r>
      <rPr>
        <sz val="9"/>
        <rFont val="Arial Narrow"/>
        <family val="2"/>
      </rPr>
      <t>/Дополнительное соглашение/</t>
    </r>
  </si>
  <si>
    <t xml:space="preserve">ДЕЛОВАЯ ПРОГРАММА </t>
  </si>
  <si>
    <t>№ к/зала:</t>
  </si>
  <si>
    <t>1. ЗАО "ОВК "БИЗОН" оказывает услуги по предоставлению Участнику возможности участия в мероприятиях деловой программы выставки, организуемых силами ЗАО "ОВК "БИЗОН", а Участник обязуется своевременно оплатить услуги и принять их выполнение.</t>
  </si>
  <si>
    <t>ДЛЯ УЧАСТНИКОВ ВЫСТАВКИ</t>
  </si>
  <si>
    <t xml:space="preserve">Цена у.е. </t>
  </si>
  <si>
    <t>Количество участников</t>
  </si>
  <si>
    <t>Итого у.е.</t>
  </si>
  <si>
    <t>Регистрационный взнос с 1-го делегата с докладом</t>
  </si>
  <si>
    <t>Регистрационный взнос с 1-го делегата без доклада</t>
  </si>
  <si>
    <t>Заполните форму 2а</t>
  </si>
  <si>
    <t>для подготовки персональных пропусков</t>
  </si>
  <si>
    <r>
      <t xml:space="preserve">Размещение в </t>
    </r>
    <r>
      <rPr>
        <b/>
        <sz val="10"/>
        <rFont val="Arial Narrow"/>
        <family val="2"/>
      </rPr>
      <t>сборнике тезисов</t>
    </r>
    <r>
      <rPr>
        <sz val="10"/>
        <rFont val="Arial Narrow"/>
        <family val="2"/>
      </rPr>
      <t xml:space="preserve"> одного цветного рекламного блока на 1 странице </t>
    </r>
  </si>
  <si>
    <t>Открытая площадь</t>
  </si>
  <si>
    <r>
      <t xml:space="preserve">Размещение на 2-й, 3-й или 4-й стороне обложки </t>
    </r>
    <r>
      <rPr>
        <b/>
        <sz val="10"/>
        <rFont val="Arial Narrow"/>
        <family val="2"/>
      </rPr>
      <t>сборника тезисов</t>
    </r>
    <r>
      <rPr>
        <sz val="10"/>
        <rFont val="Arial Narrow"/>
        <family val="2"/>
      </rPr>
      <t xml:space="preserve"> цветного рекламного блока </t>
    </r>
  </si>
  <si>
    <r>
      <t xml:space="preserve">Размещение в </t>
    </r>
    <r>
      <rPr>
        <b/>
        <sz val="10"/>
        <rFont val="Arial Narrow"/>
        <family val="2"/>
      </rPr>
      <t>сборнике докладов</t>
    </r>
    <r>
      <rPr>
        <sz val="10"/>
        <rFont val="Arial Narrow"/>
        <family val="2"/>
      </rPr>
      <t xml:space="preserve"> одного цветного рекламного блока на 1 странице </t>
    </r>
  </si>
  <si>
    <r>
      <t xml:space="preserve">Размещение на 2-й, 3-й или 4-й стороне обложки </t>
    </r>
    <r>
      <rPr>
        <b/>
        <sz val="10"/>
        <rFont val="Arial Narrow"/>
        <family val="2"/>
      </rPr>
      <t>сборника докладов</t>
    </r>
    <r>
      <rPr>
        <sz val="10"/>
        <rFont val="Arial Narrow"/>
        <family val="2"/>
      </rPr>
      <t xml:space="preserve"> цветного блока </t>
    </r>
  </si>
  <si>
    <t>Размер скидки, %</t>
  </si>
  <si>
    <r>
      <t xml:space="preserve">СКИДКА </t>
    </r>
    <r>
      <rPr>
        <sz val="10"/>
        <rFont val="Arial Narrow"/>
        <family val="2"/>
      </rPr>
      <t>(для российских участников)</t>
    </r>
  </si>
  <si>
    <r>
      <t>СКИДКА</t>
    </r>
    <r>
      <rPr>
        <sz val="10"/>
        <rFont val="Arial Narrow"/>
        <family val="2"/>
      </rPr>
      <t xml:space="preserve"> (при регистрации и двух и более представителей Участника)</t>
    </r>
  </si>
  <si>
    <t>Отметьте "1" при заказе или укажите количество</t>
  </si>
  <si>
    <t>Размещение в сборниках тезисов  докладов</t>
  </si>
  <si>
    <t>Участие в стендовых докладах, за 1 стенд</t>
  </si>
  <si>
    <t>Участие в электронной конференции на сайте выставки</t>
  </si>
  <si>
    <t>По Приложению №10</t>
  </si>
  <si>
    <t>Юридический адрес</t>
  </si>
  <si>
    <t>ИНН</t>
  </si>
  <si>
    <t>КПП</t>
  </si>
  <si>
    <t>ОГРН</t>
  </si>
  <si>
    <t>ОКПО</t>
  </si>
  <si>
    <t>Руководитель организации</t>
  </si>
  <si>
    <t>должность</t>
  </si>
  <si>
    <t xml:space="preserve">Ф.И.О. полностью </t>
  </si>
  <si>
    <t>Телефон</t>
  </si>
  <si>
    <t>Факс</t>
  </si>
  <si>
    <t>E-mail</t>
  </si>
  <si>
    <t>Web</t>
  </si>
  <si>
    <t>Официальный представитель для контактов</t>
  </si>
  <si>
    <t>Количество кв.м.</t>
  </si>
  <si>
    <t>Ф1в</t>
  </si>
  <si>
    <t>Наименование ПВН, информация о которой содержится в рекламных материалах</t>
  </si>
  <si>
    <t>Вид экспоната</t>
  </si>
  <si>
    <t>36-53 кв.м.</t>
  </si>
  <si>
    <t>54-71 кв.м.</t>
  </si>
  <si>
    <t>Стол подиум H = 0.75м ; 1.0 х 0.5м</t>
  </si>
  <si>
    <t>-</t>
  </si>
  <si>
    <t>Стул</t>
  </si>
  <si>
    <t xml:space="preserve">Светильник- спот </t>
  </si>
  <si>
    <t>Дверь раздвижная с замком</t>
  </si>
  <si>
    <t>Стеновая панель (офисная часть)</t>
  </si>
  <si>
    <t>Количество дополнительных знаков</t>
  </si>
  <si>
    <t>Дополнительное оборудование (в соответствии с заявкой №1)</t>
  </si>
  <si>
    <t xml:space="preserve">          М.П.    (подпись)</t>
  </si>
  <si>
    <t>Монтажно-оформительские работы (услуги)</t>
  </si>
  <si>
    <t>Приложение №2</t>
  </si>
  <si>
    <t>Пропуска для персонала "Участник деловой программы"</t>
  </si>
  <si>
    <t xml:space="preserve"> +7 (495) 937-40-81, доб.</t>
  </si>
  <si>
    <t xml:space="preserve">производится посредством факсимильной связи и по электронной почте. Ответственность за достоверность переданных </t>
  </si>
  <si>
    <t>дата</t>
  </si>
  <si>
    <t>месяц</t>
  </si>
  <si>
    <t>год</t>
  </si>
  <si>
    <t>________</t>
  </si>
  <si>
    <t>Дополнительное оборудование</t>
  </si>
  <si>
    <t>Конференц-залы. Аудио-, Видео - Проекционная техника</t>
  </si>
  <si>
    <t>Договор №</t>
  </si>
  <si>
    <t>Приложение №4</t>
  </si>
  <si>
    <t>Приложение №3</t>
  </si>
  <si>
    <t>Приложение №5</t>
  </si>
  <si>
    <t>Приложение №6</t>
  </si>
  <si>
    <t>Приложение №7</t>
  </si>
  <si>
    <t>р/с</t>
  </si>
  <si>
    <t>к/с</t>
  </si>
  <si>
    <t>в банке</t>
  </si>
  <si>
    <t>БИК</t>
  </si>
  <si>
    <t>Пропуска на автотранспорт</t>
  </si>
  <si>
    <t>Доверенность</t>
  </si>
  <si>
    <t>М.П.</t>
  </si>
  <si>
    <t>При подведении курсора к заполняемым ячейкам отображаются рекомендации по заполнению</t>
  </si>
  <si>
    <t>ВНИМАНИЕ !</t>
  </si>
  <si>
    <t>Сохраните заполненный вами файл до окончания выставки.</t>
  </si>
  <si>
    <t>ЗАОЧНОЕ УЧАСТИЕ</t>
  </si>
  <si>
    <t>Цены, у.е.:</t>
  </si>
  <si>
    <t>Розетка 220В до 0.3кВт</t>
  </si>
  <si>
    <t>В стоимость стандартной комплектации включено подключение электропитания до 0,3 кВт. При необходимости большей мощности необходимо оформить соответствующий заказ в Приложении №2 к настоящему Договору,  а также заказать розетку в заявке ДО №1.1</t>
  </si>
  <si>
    <t>* Розетка 220В (до 3.5.квт)</t>
  </si>
  <si>
    <t>Предварительная заявка на участие</t>
  </si>
  <si>
    <t>стр.1</t>
  </si>
  <si>
    <t>стр.2</t>
  </si>
  <si>
    <t>реквизиты участника</t>
  </si>
  <si>
    <t>Завгороднев Вадим Иванович</t>
  </si>
  <si>
    <t>4.3. Участник производит 100 % предоплату  по настоящему Договору в течение  пяти банковских дней с даты подписания настоящего</t>
  </si>
  <si>
    <t>Договор на участие</t>
  </si>
  <si>
    <t>Форма №1</t>
  </si>
  <si>
    <t>Соэкспоненты</t>
  </si>
  <si>
    <t>Экспонаты</t>
  </si>
  <si>
    <t>Регистрационный взнос за презентацию до 15 мин.</t>
  </si>
  <si>
    <t>Международной выставке вооружения и оборонных технологий "ArmHiTec-2016"</t>
  </si>
  <si>
    <t>ArmHiTec-2016</t>
  </si>
  <si>
    <t xml:space="preserve">www.Armhitec.com </t>
  </si>
  <si>
    <t>Ереван, выставочный комплекс "ЕреванЭкспо"</t>
  </si>
  <si>
    <t xml:space="preserve">Ереван </t>
  </si>
  <si>
    <t>info@Armhitec.com</t>
  </si>
  <si>
    <t>/AHT</t>
  </si>
  <si>
    <t>100 рублей РФ</t>
  </si>
  <si>
    <t>1 кв.м. необорудованной площади на этажах 1,2,3</t>
  </si>
  <si>
    <t>Лебедева Татьяна Андреевна</t>
  </si>
  <si>
    <t>(495) 937-40-81, доб. 208</t>
  </si>
  <si>
    <t>Специальные проекты: конкурсная программа</t>
  </si>
  <si>
    <t>Необорудованная площадь в павильоне. Этажи 1,2 и 3</t>
  </si>
  <si>
    <t>1. Средства и системы связи, автоматические системы управления войсками.</t>
  </si>
  <si>
    <t>2. Информационные и телекоммуникационные технологии.</t>
  </si>
  <si>
    <t>3. Бронетанковое вооружение и техника.</t>
  </si>
  <si>
    <t>4. Ракетно-артиллерийское вооружение и техника.</t>
  </si>
  <si>
    <t>5. Военная авиация.</t>
  </si>
  <si>
    <t>6. Средства противовоздушной обороны.</t>
  </si>
  <si>
    <t>7. Вооружение и средства охраны границы.</t>
  </si>
  <si>
    <t>8. Вооружение и средства РХБ защиты.</t>
  </si>
  <si>
    <t xml:space="preserve">9. Стрелковое оружие и средства ближнего боя.            </t>
  </si>
  <si>
    <t>10. Боеприпасы всех типов для любых родов войск.</t>
  </si>
  <si>
    <t>11. Беспилотные летательные аппараты и комплексы.</t>
  </si>
  <si>
    <t xml:space="preserve">12. Робототехнические комплексы. </t>
  </si>
  <si>
    <t>за 1 час</t>
  </si>
  <si>
    <t>за 1 день</t>
  </si>
  <si>
    <t>Количество часов/дней</t>
  </si>
  <si>
    <t xml:space="preserve">13. Оптико-электронное оборудование и системы. </t>
  </si>
  <si>
    <t xml:space="preserve">14. Поисковые и досмотровые технические средства. </t>
  </si>
  <si>
    <t>15. Средства противодействия техническим средствам разведки.</t>
  </si>
  <si>
    <t>16. Специальные транспортные средства.</t>
  </si>
  <si>
    <t>17. Специальное оборудование и средства ведения аварийно-спасательных работ.</t>
  </si>
  <si>
    <t>18. Технические средства охраны.</t>
  </si>
  <si>
    <t>19. Средства и системы защиты информации.</t>
  </si>
  <si>
    <t>20. Оснащение боевого пловца.</t>
  </si>
  <si>
    <t xml:space="preserve">21. Радиоэлектронные компоненты и материалы. </t>
  </si>
  <si>
    <t>22. Средства видеонаблюдения.</t>
  </si>
  <si>
    <t>23. Лазерные технологии.</t>
  </si>
  <si>
    <t xml:space="preserve">25. Средства радиоразведки, радиоэлектронной борьбы и радиопротиводействия. </t>
  </si>
  <si>
    <t>24. Средства индивидуальной и коллективной защиты.</t>
  </si>
  <si>
    <t>26. Двигателестроение в военно-промышленном комплексе.</t>
  </si>
  <si>
    <t>27. Техника инженерных войск, дорожные и грузоподъемные средства и механизмы.</t>
  </si>
  <si>
    <t>28. Комплектующие военной техники, материалы и технологии, применяемые в военной промышленности.</t>
  </si>
  <si>
    <t>29. Оборудование для ремонта военной техники и вооружения.</t>
  </si>
  <si>
    <t>30. Оборудование и технологии утилизации вооружения, военной техники и боеприпасов.</t>
  </si>
  <si>
    <t>31. Технические средства обучения и обеспечения боевой подготовки военнослужащих.</t>
  </si>
  <si>
    <t>32. Полигонное оборудование, тренажеры, симуляторы.</t>
  </si>
  <si>
    <t>33. Экипировка и обмундирование военнослужащих.</t>
  </si>
  <si>
    <t xml:space="preserve">34. Материально – техническое и продовольственное обеспечение военнослужащих. </t>
  </si>
  <si>
    <t>35. Медицинское обеспечение военнослужащих, средства экстренной медицины в полевых условиях.</t>
  </si>
  <si>
    <t>Международная выставка вооружения и оборонных технологий "ArmHiTec-2016"</t>
  </si>
  <si>
    <t>Необорудованная площадь павильоне (Этажи 1, 2 и 3)</t>
  </si>
  <si>
    <r>
      <t xml:space="preserve">
РАЗМЕЩЕНИЕ РЕКЛАМЫ !
ВНИМАНИЕ !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В соответствии с отдельным договором на размещение рекламы вы можете заказать:
</t>
    </r>
    <r>
      <rPr>
        <sz val="10"/>
        <rFont val="Arial Narrow"/>
        <family val="2"/>
      </rPr>
      <t xml:space="preserve">1. Размещение интернет-банеров на официальном сайте выставки.
2. Размещение рекламы в официальном каталоге выставки.
3. Размещение рекламы в печатной продукции выставки.
4. Размещение наружной рекламы на территории около выставочного комплекса  "ЕреванЭкспо" ивнутри него.
5. Радио- видеорекламу, PR-акции, рекламу на сувенирной продукции выставки.
6. Рекламу в рамках международной сети выставок по безопасности.
Требуйте договор на размещение рекламы у вашего персонального менеджера.
</t>
    </r>
    <r>
      <rPr>
        <b/>
        <sz val="10"/>
        <rFont val="Arial Narrow"/>
        <family val="2"/>
      </rPr>
      <t>Благодарим за сотрудничество !</t>
    </r>
    <r>
      <rPr>
        <sz val="10"/>
        <rFont val="Arial Narrow"/>
        <family val="2"/>
      </rPr>
      <t xml:space="preserve">
</t>
    </r>
  </si>
  <si>
    <t>Покрытие Wi-Fi в залах (скорость передачи данных на одно устройство до 512 Кб/c)</t>
  </si>
  <si>
    <t xml:space="preserve">КОНКУРСНАЯ ПРОГРАММА
</t>
  </si>
  <si>
    <t>3. Предоставление услуг Участнику по Участию в конкурсной программе:</t>
  </si>
  <si>
    <t>КОНКУРС "НАЦИОНАЛЬНАЯ ОБОРОНА и БЕЗОПАСНОСТЬ"</t>
  </si>
  <si>
    <t>3.1. Образцы продукции, представляемые на конкурс "НАЦИОНАЛЬНАЯ ОБОРОНА И БЕЗОПАСНОСТЬ":</t>
  </si>
  <si>
    <t xml:space="preserve"> +7 (495) 937-40-81 доб.208</t>
  </si>
  <si>
    <t xml:space="preserve">Копия списка номерного учета, заверенная в местных органах внутренних дел, направляется в дирекцию выставки не позднее 30 августа 2016 года </t>
  </si>
  <si>
    <t>Контактное лицо - Лебедева Татьяна Андреевна (495) 937-40-81</t>
  </si>
  <si>
    <t>Конкурсная программа</t>
  </si>
  <si>
    <t>3. В стоимость стандартной комплектации стендов "СТАНДАРТ" включены:</t>
  </si>
  <si>
    <t>/АНТ</t>
  </si>
  <si>
    <t>ПЕРЕЧЕНЬ
образцов ПВН, предлагаемых для экспонирования на международной выставке "ArmHiTec-2016"</t>
  </si>
  <si>
    <t>ПЕРЕЧЕНЬ
образцов ПВН, не включенных в список № 1, предлагаемых для экспонирования                                                                                                                                                                 на международной выставке "ArmHiTec-2016"</t>
  </si>
  <si>
    <t xml:space="preserve">ПЕРЕЧЕНЬ
рекламных материалов, содержащих информацию о ПВН, в том числе не включенной в список № 1, предлагаемых для экспонирования на международной выставке "ArmHiTec-2016" </t>
  </si>
  <si>
    <t>Reception 1.0 х 0.5 х 1.0 (h) м угловой</t>
  </si>
  <si>
    <t>Стеллаж 0.5 х 0.5 х (1.6)м    3 полки</t>
  </si>
  <si>
    <t>Стеллаж 1.0 х 0.5 х (1.6)м    3 полки</t>
  </si>
  <si>
    <t>031</t>
  </si>
  <si>
    <t>032</t>
  </si>
  <si>
    <t>033</t>
  </si>
  <si>
    <t>Стол-подиум 1.6х0.3х0.6(h) м</t>
  </si>
  <si>
    <t>ЭЛЕКТРОПРИБОРЫ ОСВЕТИТЕЛЬНЫЕ ПРИБОРЫ</t>
  </si>
  <si>
    <t>МЕБЕЛЬ</t>
  </si>
  <si>
    <t>СТЕНОВОЕ ОБОРУДОВАНИЕ</t>
  </si>
  <si>
    <r>
      <t>Заявка №1</t>
    </r>
    <r>
      <rPr>
        <sz val="14"/>
        <rFont val="Arial Narrow"/>
        <family val="2"/>
      </rPr>
      <t xml:space="preserve"> 
</t>
    </r>
  </si>
  <si>
    <t>ВОЗМЕЩЕНИЕ РАСХОДОВ ЗА ЭЛЕКТРОЭНЕРГИЮ</t>
  </si>
  <si>
    <t>За 1 кв.м.</t>
  </si>
  <si>
    <t>За 1 подключение в павильоне</t>
  </si>
  <si>
    <t xml:space="preserve">УБОРКА СТЕНДА </t>
  </si>
  <si>
    <r>
      <t xml:space="preserve">ПРИЛОЖЕНИЕ №9 </t>
    </r>
    <r>
      <rPr>
        <sz val="9"/>
        <rFont val="Arial Narrow"/>
        <family val="2"/>
      </rPr>
      <t>/Дополнительное соглашение/</t>
    </r>
  </si>
  <si>
    <t>Матяш Леонид Ильич</t>
  </si>
  <si>
    <t>Информационное сопровождение</t>
  </si>
  <si>
    <t>Ваш  менеджер в ЗАО "ОВК "БИЗОН"</t>
  </si>
  <si>
    <t xml:space="preserve">Контактное лицо по вопросам оформления </t>
  </si>
  <si>
    <t>Бухгалтерия</t>
  </si>
  <si>
    <t>Наименование организации для размещения в списке участников и Дипломе:</t>
  </si>
  <si>
    <t>Мультимедиа проектор 5000- 5500 Lm</t>
  </si>
  <si>
    <t>Экран проекционный 2х1,5 м.</t>
  </si>
  <si>
    <t>Радиобъявление</t>
  </si>
  <si>
    <t>Регистрационный взнос за последующую презентацию (независимо от количества)</t>
  </si>
  <si>
    <t>Регистрационный взнос за презентацию от 15 до 60 мин.</t>
  </si>
  <si>
    <t>Количество участий</t>
  </si>
  <si>
    <t>3.3 Для организаций и предприятий, являющихся участниками выставочной программы (с предоставлением выставочной площади):</t>
  </si>
  <si>
    <t xml:space="preserve">Перед заполнением просьба внимательно ознакомиться с Условиями участия, являющимися неотъемлемой </t>
  </si>
  <si>
    <t>частью Договора на участие</t>
  </si>
  <si>
    <t>Руководитель отдела монтажно-оформительских работ</t>
  </si>
  <si>
    <t>Пучков Владимир Борисович</t>
  </si>
  <si>
    <t>Калико Борис Израилевич</t>
  </si>
  <si>
    <t>Дирекция выставки:</t>
  </si>
  <si>
    <t>30101810400000000225</t>
  </si>
  <si>
    <t xml:space="preserve">          М.П.    (подпись) </t>
  </si>
  <si>
    <t>ОКФС</t>
  </si>
  <si>
    <t>Участник:</t>
  </si>
  <si>
    <t xml:space="preserve">М.П. </t>
  </si>
  <si>
    <r>
      <t xml:space="preserve">ИНН </t>
    </r>
    <r>
      <rPr>
        <sz val="11"/>
        <rFont val="Arial Narrow"/>
        <family val="2"/>
      </rPr>
      <t xml:space="preserve">7717572935     </t>
    </r>
    <r>
      <rPr>
        <b/>
        <sz val="11"/>
        <rFont val="Arial Narrow"/>
        <family val="2"/>
      </rPr>
      <t>КПП</t>
    </r>
    <r>
      <rPr>
        <sz val="11"/>
        <rFont val="Arial Narrow"/>
        <family val="2"/>
      </rPr>
      <t xml:space="preserve"> 771701001</t>
    </r>
  </si>
  <si>
    <t>7717572935</t>
  </si>
  <si>
    <t>771701001</t>
  </si>
  <si>
    <t xml:space="preserve">ИНЖЕНЕРНЫЕ УСЛУГИ </t>
  </si>
  <si>
    <t>montage@b95.ru</t>
  </si>
  <si>
    <t xml:space="preserve">2. Срок оказания услуг:  </t>
  </si>
  <si>
    <t>Экран 150x200</t>
  </si>
  <si>
    <t>Начальник международного отдела</t>
  </si>
  <si>
    <t>доб. 109</t>
  </si>
  <si>
    <t>доб. 107</t>
  </si>
  <si>
    <r>
      <t>Города-Герои. Города воинской славы</t>
    </r>
    <r>
      <rPr>
        <sz val="9"/>
        <rFont val="Arial Narrow"/>
        <family val="2"/>
      </rPr>
      <t xml:space="preserve"> - специализированная экспозиция </t>
    </r>
  </si>
  <si>
    <t>5. Предоставление Участнику услуг по уборке стенда во время работы выставки:</t>
  </si>
  <si>
    <t>ОХРАНА ОРУЖИЯ</t>
  </si>
  <si>
    <t>Охрана оружия и стенда. Уборка</t>
  </si>
  <si>
    <t xml:space="preserve">Сдача оружия под охрану и снятие с охраны производится в присутствии представителя Участника. </t>
  </si>
  <si>
    <t>в стационарной комнате для хранения оружия в ночное время.</t>
  </si>
  <si>
    <t>ВНИМАНИЕ!</t>
  </si>
  <si>
    <t>Изменение конфигурации расстановки мебели в переговорной комнате  по желанию Участника (1 перестановка)</t>
  </si>
  <si>
    <t>ПЕРЕГОВОРНАЯ КОМНАТА (20 мест)</t>
  </si>
  <si>
    <t>Презентационное оборудование в переговорных комнатах на 20 мест</t>
  </si>
  <si>
    <t>Звукоусиление, 1  микрофон на настольной подставке</t>
  </si>
  <si>
    <t>VIP комната (10 мест)</t>
  </si>
  <si>
    <t>Подключения до 10 п.м. включительно производятся шлангами, предоставляемыми без дополнительной оплаты. Если длина подключения превышает 10 п.м., шланги необходимой длины предоставляются Участнику в аренду за дополнительную плату.</t>
  </si>
  <si>
    <t>Организационное обеспечение предоставления выделенного канала доступа в Интернет на скорости до 2 Мб/с, без учета трафика (безлимитный), интерфейс Ethernet</t>
  </si>
  <si>
    <t>РАННЕЕ И СВЕРХУРОЧНОЕ ИСПОЛЬЗОВАНИЕ ПЛОЩАДЕЙ</t>
  </si>
  <si>
    <t>Предварительная заявка на участие в выставке (на 2-х листах)</t>
  </si>
  <si>
    <t>б) Место проведения выставки</t>
  </si>
  <si>
    <t>УЧАСТИЕ СОЭКСПОНЕНТА</t>
  </si>
  <si>
    <t>Срок оказания услуг по приложениям</t>
  </si>
  <si>
    <t xml:space="preserve">E-mail: </t>
  </si>
  <si>
    <t>от____ __________ 200_</t>
  </si>
  <si>
    <t>Крайний срок:</t>
  </si>
  <si>
    <t>Дополнительные знаки на фризовой панели</t>
  </si>
  <si>
    <t>Необорудованная площадь в павильоне. Зал С 75 павильона</t>
  </si>
  <si>
    <r>
      <t xml:space="preserve">Примечание: </t>
    </r>
    <r>
      <rPr>
        <sz val="10"/>
        <rFont val="Arial Cyr"/>
        <family val="0"/>
      </rPr>
      <t xml:space="preserve">
1) В графе 2 указывается наименование образца ПВН, соответствующее его наименованию в списке № 1 (массогабаритного макета);
2) В графе 4 указывается номер согласованного с Минобороны России рекламного паспорта.
</t>
    </r>
  </si>
  <si>
    <t xml:space="preserve">В соответствии с требованиями ФСТЭК России на стенде необходимо иметь экспертное заключение ПДТК </t>
  </si>
  <si>
    <t xml:space="preserve">предприятия об отсутствии в рекламных материалах сведений составляющих государственную тайну и копию титульного листа </t>
  </si>
  <si>
    <r>
      <t xml:space="preserve">Примечание: </t>
    </r>
    <r>
      <rPr>
        <sz val="10"/>
        <rFont val="Arial Cyr"/>
        <family val="0"/>
      </rPr>
      <t xml:space="preserve">
1) В графе 2 указывается наименование образца ПВН (массогабаритного макета);
2) В графе 4 указывается номер согласованного с Минобороны России рекламного паспорта.
</t>
    </r>
  </si>
  <si>
    <t>3) Участник обязан представить 4 заверенные копии рекламного паспорта указанного образца и 4 заверенные копии заключений ПДТК</t>
  </si>
  <si>
    <t>организации-участника об отсутствии в экспонатах сведений, составляющих государственную тайну</t>
  </si>
  <si>
    <t>Все банковские сборы оплачиваются Участником.</t>
  </si>
  <si>
    <t xml:space="preserve">персональных пропусков категории "Участник" на арендуемую открытую площадь для демонстрации экспонатов из расчета 1 пропуск на 10 кв.м. </t>
  </si>
  <si>
    <r>
      <t xml:space="preserve">а) Полное наименование </t>
    </r>
    <r>
      <rPr>
        <i/>
        <sz val="11"/>
        <rFont val="Arial Narrow"/>
        <family val="2"/>
      </rPr>
      <t>(в дальнейшем именуемая - Выставка)</t>
    </r>
  </si>
  <si>
    <r>
      <t xml:space="preserve">7. Согласно п.п. 4.2 Договора на участие настоящее Приложение, оформленное не в день подписания Договора, имеет силу </t>
    </r>
    <r>
      <rPr>
        <b/>
        <i/>
        <sz val="10"/>
        <rFont val="Arial Narrow"/>
        <family val="2"/>
      </rPr>
      <t>Дополнительного соглашения</t>
    </r>
    <r>
      <rPr>
        <sz val="10"/>
        <rFont val="Arial Narrow"/>
        <family val="2"/>
      </rPr>
      <t xml:space="preserve"> к договору. В этом случае общая сумма договора изменяется на фактическую стоимость оказанных услуг по настоящему Приложению к договору и фиксируется в акте приема/сдачи выполненных работ (оказанных услуг). </t>
    </r>
  </si>
  <si>
    <t>Наименование выставки полное:</t>
  </si>
  <si>
    <t>Официальный сайт выставки:</t>
  </si>
  <si>
    <t>Расчетный счет выставки:</t>
  </si>
  <si>
    <t>Окончательный срок приема предварительных заявок</t>
  </si>
  <si>
    <t>Даты проведения</t>
  </si>
  <si>
    <t>Место проведения</t>
  </si>
  <si>
    <t>Монтаж:</t>
  </si>
  <si>
    <t>Завоз оборудования:</t>
  </si>
  <si>
    <t>Демонтаж:</t>
  </si>
  <si>
    <t>Срок представления договора</t>
  </si>
  <si>
    <t>Срок представления приложений и форм</t>
  </si>
  <si>
    <t>Срок представления формы по ПВН</t>
  </si>
  <si>
    <t xml:space="preserve">E-mail дирекции </t>
  </si>
  <si>
    <t>Код договора</t>
  </si>
  <si>
    <t xml:space="preserve">Представить до </t>
  </si>
  <si>
    <t>Застройка стендов</t>
  </si>
  <si>
    <t>Стенд Эконом</t>
  </si>
  <si>
    <t>Стенд Оптима</t>
  </si>
  <si>
    <t>Срок оказания услуг по приложению №1</t>
  </si>
  <si>
    <t xml:space="preserve">4.4. Цены указаны в рублях без учета НДС 18%. Общая сумма договора включает в себя НДС 18%.Оплата производится </t>
  </si>
  <si>
    <t>Приложение №11</t>
  </si>
  <si>
    <t>Новинки выставки</t>
  </si>
  <si>
    <t>напольная подставка</t>
  </si>
  <si>
    <t>настольная подставка</t>
  </si>
  <si>
    <t>Предварительная заявка на участие в выставке</t>
  </si>
  <si>
    <t>Стенд Стандарт</t>
  </si>
  <si>
    <t>Стенд Оптима+</t>
  </si>
  <si>
    <t>(495) 937-40-81, 904-20-81</t>
  </si>
  <si>
    <t>(495) 937-40-81, 994-01-40</t>
  </si>
  <si>
    <t>доб. 232</t>
  </si>
  <si>
    <t>доб. 222</t>
  </si>
  <si>
    <t>Персональный менеджер в ОВК "БИЗОН"</t>
  </si>
  <si>
    <t>Итого по приложению, руб.:</t>
  </si>
  <si>
    <t xml:space="preserve">НДС (18%), руб.:    </t>
  </si>
  <si>
    <t>Итого к оплате по приложению (включая  НДС),  руб.:</t>
  </si>
  <si>
    <t>ИТОГО ПО ЗАЯВКЕ, руб.</t>
  </si>
  <si>
    <t>НДС (18%), руб.</t>
  </si>
  <si>
    <t>ИТОГО К ОПЛАТЕ ПО ЗАЯВКЕ, руб.</t>
  </si>
  <si>
    <t>Кулер +1 бутыль воды 19 л (под залог)</t>
  </si>
  <si>
    <t xml:space="preserve">Итого по приложению, руб.:    </t>
  </si>
  <si>
    <t>Под переводом понимается последовательный перевод. Под европейскими языками понимаются английский, немецкий, французский, итальянский, испанский, португальский. Под восточными языками понимаются китайский, японский, персидский, арабский, индийский</t>
  </si>
  <si>
    <t>3. Доступ к сети Интернет на период работы выставки. Аренда оборудования и каналов:</t>
  </si>
  <si>
    <t>Экспонаты. Список номерного учета оружия</t>
  </si>
  <si>
    <t>Леонид Матяш</t>
  </si>
  <si>
    <t>leonid@b95.ru</t>
  </si>
  <si>
    <t>ПРОПУСКА ДЛЯ УЧАСТНИКОВ ДЕЛОВОЙ ПРОГРАММЫ "ДЕЛЕГАТ"</t>
  </si>
  <si>
    <t>укажите наименование мероприятия</t>
  </si>
  <si>
    <t>1 (один) пресональный пропуск категории "Делегат" с правом участия без доклада в мероприятии деловой программы:</t>
  </si>
  <si>
    <t>Дополнительные пресональные пропуска категории "Делегат" с правом участия без доклада в мероприятии деловой программы:</t>
  </si>
  <si>
    <t>Дополнительные пресональные пропуска категории "Делегат" с правом участия с докладом в мероприятии деловой программы:</t>
  </si>
  <si>
    <t>Форма №2а</t>
  </si>
  <si>
    <t>К/зал №</t>
  </si>
  <si>
    <t xml:space="preserve">Скидки </t>
  </si>
  <si>
    <t>Регистрационный взнос с каждого дополнительного делегата без доклада</t>
  </si>
  <si>
    <t>Приложение №8</t>
  </si>
  <si>
    <t>работа выставки</t>
  </si>
  <si>
    <t>Период работы выставки</t>
  </si>
  <si>
    <t>Работа выставки</t>
  </si>
  <si>
    <t xml:space="preserve">Руководитель отдела </t>
  </si>
  <si>
    <t>КОНФЕРЕНЦ-ЗАЛЫ. 
АУДИО, ВИДЕО - ПРОЕКЦИОННАЯ ТЕХНИКА</t>
  </si>
  <si>
    <t>Ваш персональный менеджер ОВК "БИЗОН"</t>
  </si>
  <si>
    <t xml:space="preserve">Представить в ЗАО "ОВК БИЗОН" не позднее </t>
  </si>
  <si>
    <t>ВЫСТАВОЧНАЯ ПЛОЩАДЬ</t>
  </si>
  <si>
    <t>4. Стоимость услуг, оказываемых в соответствии с настоящим Приложением к Договору,  включает:</t>
  </si>
  <si>
    <t>(наименование организации)</t>
  </si>
  <si>
    <t>№ п/п</t>
  </si>
  <si>
    <t>Наименование</t>
  </si>
  <si>
    <t>4. Предоставление Участнику комплекса услуг по охране, учёту и сохранности гражданского оружия и боеприпасов:</t>
  </si>
  <si>
    <t>ОХРАНА ОРУЖИЯ И СТЕНДА.                   УБОРКА.</t>
  </si>
  <si>
    <t>В стоимость сантехнических подключений включена стоимость потребления воды, подвода воды одним трубопроводом и отвод воды одним трубопроводом. Подключения до 10 п.м. включительно производятся шлангами, предоставляемыми без дополнительной оплаты. Если длина подключения превышает 10 п.м., шланги необходимой длины предоставляются Участнику в аренду за дополнительную плату.</t>
  </si>
  <si>
    <t>За 1 подключение при расходе &lt;30 куб. м./ час</t>
  </si>
  <si>
    <t>За 1 подключение при расходе &gt;30 куб. м./ час</t>
  </si>
  <si>
    <t>3. Электрические подключения и электроэнергия</t>
  </si>
  <si>
    <t>4. Порядок работы и расчетов.</t>
  </si>
  <si>
    <t>заказ услуг</t>
  </si>
  <si>
    <t>имеют силу Дополнительных соглашений к настоящему Договору.</t>
  </si>
  <si>
    <t>Заочное участие</t>
  </si>
  <si>
    <t>Новинки рынка дополнительно к основному участию</t>
  </si>
  <si>
    <t>Только новинки рынка</t>
  </si>
  <si>
    <r>
      <t xml:space="preserve">ПРИЛОЖЕНИЕ №2 </t>
    </r>
    <r>
      <rPr>
        <sz val="9"/>
        <rFont val="Arial Narrow"/>
        <family val="2"/>
      </rPr>
      <t>/Дополнительное соглашение/</t>
    </r>
  </si>
  <si>
    <r>
      <t xml:space="preserve">ПРИЛОЖЕНИЕ №4 </t>
    </r>
    <r>
      <rPr>
        <sz val="9"/>
        <rFont val="Arial Narrow"/>
        <family val="2"/>
      </rPr>
      <t>/Дополнительное соглашение/</t>
    </r>
  </si>
  <si>
    <t>№стенда:</t>
  </si>
  <si>
    <r>
      <t xml:space="preserve">ПРИЛОЖЕНИЕ №5 </t>
    </r>
    <r>
      <rPr>
        <sz val="9"/>
        <rFont val="Arial Narrow"/>
        <family val="2"/>
      </rPr>
      <t>/Дополнительное соглашение/</t>
    </r>
  </si>
  <si>
    <r>
      <t xml:space="preserve">ПРИЛОЖЕНИЕ №6 </t>
    </r>
    <r>
      <rPr>
        <sz val="9"/>
        <rFont val="Arial Narrow"/>
        <family val="2"/>
      </rPr>
      <t>/Дополнительное соглашение/</t>
    </r>
  </si>
  <si>
    <t>1.2. Участник:</t>
  </si>
  <si>
    <t xml:space="preserve">2. Срок оказания услуг: </t>
  </si>
  <si>
    <t xml:space="preserve">к  Договору на участие в </t>
  </si>
  <si>
    <t xml:space="preserve">№_____ </t>
  </si>
  <si>
    <r>
      <t xml:space="preserve">Банковские реквизиты:   </t>
    </r>
    <r>
      <rPr>
        <b/>
        <sz val="10.5"/>
        <rFont val="Arial Narrow"/>
        <family val="2"/>
      </rPr>
      <t>Закрытое акционерное общество "Объединение выставочных компаний "БИЗОН"</t>
    </r>
  </si>
  <si>
    <t>Новинки продукции (техники, вооружения) планируемые к демонстрации на выставке</t>
  </si>
  <si>
    <t>Напольная стойка для плазменной панели (только с плазменной панелью)</t>
  </si>
  <si>
    <t>Стенд "СТАНДАРТ" - Конструктив типа Октанорм стандартный</t>
  </si>
  <si>
    <t>Сверхурочное использование площадей</t>
  </si>
  <si>
    <t>1. Данные услуги оказываются в конференц-залах и других специально оборудованных помещениях выставочного комплекса</t>
  </si>
  <si>
    <t>2. Неполный час оплачивается как полный</t>
  </si>
  <si>
    <t>Количество дней/ ночей</t>
  </si>
  <si>
    <t>Количество шт.</t>
  </si>
  <si>
    <t>Экспонаты. Продукция военного назначения</t>
  </si>
  <si>
    <t xml:space="preserve">Количество подключений </t>
  </si>
  <si>
    <t>ИНТЕРНЕТ *</t>
  </si>
  <si>
    <t xml:space="preserve">Количество </t>
  </si>
  <si>
    <t xml:space="preserve">DVD плеер </t>
  </si>
  <si>
    <t>ПЕРСОНАЛЬНЫЕ ПРОПУСКА</t>
  </si>
  <si>
    <t>№ стенда:</t>
  </si>
  <si>
    <t>Пригласительный билет на стенд Участника (тираж - 100 шт.)</t>
  </si>
  <si>
    <t>Количество тиражей</t>
  </si>
  <si>
    <t>Другое (указать) ……………………………………………………………………………………………………………</t>
  </si>
  <si>
    <t>Все формы: договор, приложения, заявки имеются в данном файле и расположены на разных листах (см. внизу экрана)</t>
  </si>
  <si>
    <t xml:space="preserve">6. Настоящее Приложение составлено в двух экземплярах, имеющих одинаковую юридическую силу, по одному для каждой из сторон, является неотъемлемой частью Договора и вступает в силу с даты подписания обеими сторонами. </t>
  </si>
  <si>
    <r>
      <t xml:space="preserve">5. Согласно п.п. 4.2 Договора на участие настоящее Приложение, оформленное не в день подписания Договора, имеет силу </t>
    </r>
    <r>
      <rPr>
        <b/>
        <i/>
        <sz val="10"/>
        <rFont val="Arial Narrow"/>
        <family val="2"/>
      </rPr>
      <t>Дополнительного соглашения</t>
    </r>
    <r>
      <rPr>
        <sz val="10"/>
        <rFont val="Arial Narrow"/>
        <family val="2"/>
      </rPr>
      <t xml:space="preserve"> к договору. В этом случае общая сумма договора изменяется на фактическую стоимость оказанных услуг по настоящему Приложению к договору и фиксируется в акте приема/сдачи выполненных работ (оказанных услуг). </t>
    </r>
  </si>
  <si>
    <t xml:space="preserve">                                          </t>
  </si>
  <si>
    <t xml:space="preserve">                                                </t>
  </si>
  <si>
    <t xml:space="preserve">                                           </t>
  </si>
  <si>
    <t xml:space="preserve">                                         </t>
  </si>
  <si>
    <t>Маричев  Сергей Николаевич</t>
  </si>
  <si>
    <t>Откр.пл-дь</t>
  </si>
  <si>
    <t xml:space="preserve">1.1. ЗАО " ОВК "БИЗОН" организует подготовку, проведение и оказывает комплекс услуг  по обеспечению участия </t>
  </si>
  <si>
    <t>Участника в Выставке.</t>
  </si>
  <si>
    <t xml:space="preserve">Договор считается действующим с даты его подписания до даты подписания акта приема/сдачи выполненных работ, а </t>
  </si>
  <si>
    <t>Маричев Сергей Николаевич</t>
  </si>
  <si>
    <t>(подпись)________________________</t>
  </si>
  <si>
    <t>Телекоммуникации. Презентационное оборудование на стенде.</t>
  </si>
  <si>
    <t>Заявка №1.1</t>
  </si>
  <si>
    <t>Заявка №1.2</t>
  </si>
  <si>
    <t>Макет стенда</t>
  </si>
  <si>
    <t>В соответствии с Условиями участия без дополнительной оплаты вам предоставляется:</t>
  </si>
  <si>
    <t>РАННЕЕ ИСПОЛЬЗОВАНИЕ ВАЫСТАВОЧНЫХ ПЛОЩАДЕЙ с 8.00 до 20.00 не в дни мотажа/демонтажа</t>
  </si>
  <si>
    <t>Кв.м.</t>
  </si>
  <si>
    <t>Ранний заезд</t>
  </si>
  <si>
    <t>Стенды площадью до 30 кв.м. включительно</t>
  </si>
  <si>
    <t xml:space="preserve">Стенды площадью свыше 100 кв.м. </t>
  </si>
  <si>
    <t>Стенды площадью от 31 до 100 кв.м. включительно</t>
  </si>
  <si>
    <t>10. Подписи сторон</t>
  </si>
  <si>
    <t xml:space="preserve">7. Настоящее Приложение составлено в двух экземплярах, имеющих одинаковую юридическую силу, по одному для каждой из сторон, является неотъемлемой частью Договора и вступает в силу с даты подписания обеими сторонами. </t>
  </si>
  <si>
    <r>
      <t xml:space="preserve">6. Согласно п.п. 4.2 Договора на участие настоящее Приложение, оформленное не в день подписания Договора, имеет силу </t>
    </r>
    <r>
      <rPr>
        <b/>
        <i/>
        <sz val="10"/>
        <rFont val="Arial Narrow"/>
        <family val="2"/>
      </rPr>
      <t>Дополнительного соглашения</t>
    </r>
    <r>
      <rPr>
        <sz val="10"/>
        <rFont val="Arial Narrow"/>
        <family val="2"/>
      </rPr>
      <t xml:space="preserve"> к договору. В этом случае общая сумма договора изменяется на фактическую стоимость оказанных услуг по настоящему Приложению к договору и фиксируется в акте приема/сдачи выполненных работ (оказанных услуг). </t>
    </r>
  </si>
  <si>
    <t>персональных  пропусков категории "Участник" на предоставляемую площадь в павильоне из расчета 3 пропуска на 9 кв.м.</t>
  </si>
  <si>
    <r>
      <t>ВНИМАНИЕ !</t>
    </r>
    <r>
      <rPr>
        <sz val="11"/>
        <rFont val="Arial Narrow"/>
        <family val="2"/>
      </rPr>
      <t xml:space="preserve">
</t>
    </r>
    <r>
      <rPr>
        <sz val="11"/>
        <color indexed="10"/>
        <rFont val="Arial Narrow"/>
        <family val="2"/>
      </rPr>
      <t>РЕКОМЕНДАЦИИ ПО ЗАПОЛНЕНИЮ ДОГОВОРА, ПРИЛОЖЕНИЙ, ЗАЯВОК И ФОРМ.</t>
    </r>
    <r>
      <rPr>
        <sz val="11"/>
        <rFont val="Arial Narrow"/>
        <family val="2"/>
      </rPr>
      <t xml:space="preserve">
Данные формы заполняются на компьютере.
В данном файле в виде отдельных листов имеются все необходимые для оформления участия документы.
Ячейки, предназначенные для заполнения, выделены зеленым цветом. 
При подведении курсора к ним отображаются рекомендации по заполнению.
Остальные ячейки заблокированы и не подлежат редактированию.
В левом верхнем углу каждой формы указано контактное лицо ОВК "БИЗОН", у которого Вы можете получить консультацию по услугам, заказываемым по данному приложению.
</t>
    </r>
    <r>
      <rPr>
        <b/>
        <sz val="11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ПОРЯДОК ЗАПОЛНЕНИЯ:</t>
    </r>
    <r>
      <rPr>
        <sz val="11"/>
        <rFont val="Arial Narrow"/>
        <family val="2"/>
      </rPr>
      <t xml:space="preserve">
1. Заполните предварительную заявку стр.1 и 2. 
2. Данные из заявки автоматически отображаются в Договоре на участие, во всех приложениях и формах.
3. Указанные Вами в заявке на стр. 2 данные используются в расчетах стоимости услуг по Договору.
</t>
    </r>
    <r>
      <rPr>
        <b/>
        <sz val="11"/>
        <color indexed="10"/>
        <rFont val="Arial Narrow"/>
        <family val="2"/>
      </rPr>
      <t>Благодарим за сотрудничество !</t>
    </r>
    <r>
      <rPr>
        <sz val="11"/>
        <rFont val="Arial Narrow"/>
        <family val="2"/>
      </rPr>
      <t xml:space="preserve">
</t>
    </r>
  </si>
  <si>
    <t>«……………..»   …………………………….. 201__ г.</t>
  </si>
  <si>
    <t>от__ _________ 201_</t>
  </si>
  <si>
    <t>ПРОПУСКА ДЛЯ ПЕРСОНАЛА "УЧАСТНИК"</t>
  </si>
  <si>
    <t>Ф2</t>
  </si>
  <si>
    <t>Фамилия</t>
  </si>
  <si>
    <t>Имя</t>
  </si>
  <si>
    <t>Отчество</t>
  </si>
  <si>
    <t xml:space="preserve">Паспорт 
(серия, №, дата и место выдачи)
</t>
  </si>
  <si>
    <t>Занимаемая должность</t>
  </si>
  <si>
    <t>Форма №3</t>
  </si>
  <si>
    <t>СОЭКСПОНЕНТЫ</t>
  </si>
  <si>
    <t>Ф3</t>
  </si>
  <si>
    <t>СОЭКСПОНЕНТ</t>
  </si>
  <si>
    <t>Соэкспонент имеет право выставлять свои экспонаты на стенде основного Экспонента и использовать  для работы свой персонал, заполнив предварительно соответствующие формы.</t>
  </si>
  <si>
    <t>Соэкспонент оплачивает самостоятельно:</t>
  </si>
  <si>
    <t>Регистрационный взнос</t>
  </si>
  <si>
    <t>Технические услуги</t>
  </si>
  <si>
    <t>Пропуска категории «Участник»</t>
  </si>
  <si>
    <t>Примечание (количество метров)</t>
  </si>
  <si>
    <t>Форма №4</t>
  </si>
  <si>
    <t>Ф4</t>
  </si>
  <si>
    <t>E-mail:</t>
  </si>
  <si>
    <t>WEB</t>
  </si>
  <si>
    <t>Должность</t>
  </si>
  <si>
    <r>
      <t xml:space="preserve">В противном случае ЗАО "ОВК "БИЗОН" оставляет за собой право оборудовать стенд Участника в соответствии со стандартной комплектацией (п.2 настоящего приложения) и компоновкой элементов стенда по усмотрению ЗАО "ОВК "БИЗОН".                                                                                                                                                                  </t>
    </r>
    <r>
      <rPr>
        <b/>
        <sz val="9"/>
        <rFont val="Arial Narrow"/>
        <family val="2"/>
      </rPr>
      <t xml:space="preserve">ПРИМЕЧАНИЕ:   </t>
    </r>
    <r>
      <rPr>
        <sz val="9"/>
        <rFont val="Arial Narrow"/>
        <family val="2"/>
      </rPr>
      <t xml:space="preserve">Заказ дополнительного оборудования (услуг) </t>
    </r>
    <r>
      <rPr>
        <b/>
        <sz val="9"/>
        <rFont val="Arial Narrow"/>
        <family val="2"/>
      </rPr>
      <t>после 14 сентября 2016</t>
    </r>
    <r>
      <rPr>
        <sz val="9"/>
        <rFont val="Arial Narrow"/>
        <family val="2"/>
      </rPr>
      <t xml:space="preserve"> года влечет оплату заказанного оборудования (услуг)</t>
    </r>
    <r>
      <rPr>
        <b/>
        <sz val="9"/>
        <rFont val="Arial Narrow"/>
        <family val="2"/>
      </rPr>
      <t xml:space="preserve"> в ДВОЙНОМ РАЗМЕРЕ (200%).</t>
    </r>
  </si>
  <si>
    <t>ФИО (полностью)</t>
  </si>
  <si>
    <t>Ф.И.О. полностью</t>
  </si>
  <si>
    <t xml:space="preserve">Паспорт   </t>
  </si>
  <si>
    <t>серия</t>
  </si>
  <si>
    <t>номер</t>
  </si>
  <si>
    <t>Кем и когда выдан</t>
  </si>
  <si>
    <t>Почтовый адрес: 129223, Москва, а/я10  Фактический адрес: Москва, пр. Мира, д. 119, стр. 619</t>
  </si>
  <si>
    <t>Отправьте заполненные формы на e-mail вашего персонального менеджера в ЗАО "ОВК "БИЗОН"</t>
  </si>
  <si>
    <t>«IT-технологии. Эра компьютеров. Офис. Безопасность. Связь» - VIII Межрегиональная специализированная выставка</t>
  </si>
  <si>
    <t>г. Белгород</t>
  </si>
  <si>
    <t>Специализированная экспозиция «Комплексная безопасность аэропортов, аэродромов, войсковых подразделений, складов» в рамках Международного авиационно-космического салона "МАКС-2011"</t>
  </si>
  <si>
    <t>“Технологии и средства безопасности-2011”- XVI Специализированная межрегиональная Выставка</t>
  </si>
  <si>
    <t>"Российская выставка вооружений. Нижний Тагил - 2011" Экспозиция по безопасности</t>
  </si>
  <si>
    <t>8 - 11 сентября 2011 года</t>
  </si>
  <si>
    <t>г. Нижний Новгород</t>
  </si>
  <si>
    <t>22 - 25 ноября 2011 года</t>
  </si>
  <si>
    <t>6 - 9 сентября 2011 года</t>
  </si>
  <si>
    <t>Казахстан, г. Алматы</t>
  </si>
  <si>
    <t>4 - 5 мая 2011 года</t>
  </si>
  <si>
    <t>11 - 14 мая 2011 года</t>
  </si>
  <si>
    <t>17 - 19 мая 2011 года</t>
  </si>
  <si>
    <t>"Комплексная безопасность-2011" - IV Международный салон</t>
  </si>
  <si>
    <t>17 - 20 мая 2011 года</t>
  </si>
  <si>
    <t>25 - 27 мая 2011 года</t>
  </si>
  <si>
    <t>16 - 21 августа 2011 года</t>
  </si>
  <si>
    <t>Украина, г. Донецк</t>
  </si>
  <si>
    <t>Казахстан, г. Астана</t>
  </si>
  <si>
    <t>15 - 16 сентября 2011 года</t>
  </si>
  <si>
    <t>Украина, г. Киев</t>
  </si>
  <si>
    <t>20 - 22 сентября 2011 года</t>
  </si>
  <si>
    <t>21 - 24 сентября 2011 года</t>
  </si>
  <si>
    <t>"Безопасность. Урал - 2011" - XIV Специализированная выставка</t>
  </si>
  <si>
    <t>27 - 29 сентября 2011 года</t>
  </si>
  <si>
    <t>“Технологии и средства безопасности-2011” - XVI Специализированная межрегиональная Выставка</t>
  </si>
  <si>
    <t xml:space="preserve">27 - 30 сентября 2011 года </t>
  </si>
  <si>
    <t xml:space="preserve">15 - 18 ноября 2011 года </t>
  </si>
  <si>
    <t>"Предупреждение и ликвидация ЧС. Пожарная безопасность. Средства спасения" - Специализированная выставка</t>
  </si>
  <si>
    <t>"Безопасность -2012" - Межрегиональная специализированная выставка</t>
  </si>
  <si>
    <t>февраль 2012 года</t>
  </si>
  <si>
    <t xml:space="preserve">"Индустрия безопасности и связи. Автоматизация. Электроника" - XVI Специализированная выставка безопасности </t>
  </si>
  <si>
    <t>март 2012 года</t>
  </si>
  <si>
    <t>в одностороннем порядке изменить ранее согласованное расположение предоставляемой Участнику выставочной площади.</t>
  </si>
  <si>
    <t>б) подтверждает свое согласие с Условиями Участия в выставке и обязуется их соблюдать.</t>
  </si>
  <si>
    <t>в) обязуется принять предоставляемые услуги ЗАО "ОВК "БИЗОН" и своевременно оплатить их в соответствии</t>
  </si>
  <si>
    <t xml:space="preserve">а) принимает на себя обязательства по участию в выставке в порядке и на условиях, предусмотренных настоящим </t>
  </si>
  <si>
    <t>Дирекция выставки</t>
  </si>
  <si>
    <r>
      <t>Ф2</t>
    </r>
    <r>
      <rPr>
        <b/>
        <sz val="26"/>
        <color indexed="9"/>
        <rFont val="Arial Narrow"/>
        <family val="2"/>
      </rPr>
      <t>а</t>
    </r>
  </si>
  <si>
    <t>3.1 Для организаций и предприятий, являющихся участниками выставочной программы (с предоставлением выставочной площади):</t>
  </si>
  <si>
    <t>ДЛЯ УЧАСТНИКОВ ДЕЛОВОЙ ПРОГРАММЫ</t>
  </si>
  <si>
    <t>3.2 Для организаций и предприятий, являющихся участниками только деловой программы:</t>
  </si>
  <si>
    <t>Мероприятие деловой программы, в котором Участник принимает участие:</t>
  </si>
  <si>
    <r>
      <t>*</t>
    </r>
    <r>
      <rPr>
        <i/>
        <sz val="9"/>
        <rFont val="Arial Narrow"/>
        <family val="2"/>
      </rPr>
      <t>Доплата за 1 м</t>
    </r>
    <r>
      <rPr>
        <i/>
        <vertAlign val="superscript"/>
        <sz val="9"/>
        <rFont val="Arial Narrow"/>
        <family val="2"/>
      </rPr>
      <t>2</t>
    </r>
    <r>
      <rPr>
        <i/>
        <sz val="9"/>
        <rFont val="Arial Narrow"/>
        <family val="2"/>
      </rPr>
      <t xml:space="preserve">: За стенд открытый с 2-х сторон - 10%,   с 3-х сторон –15%,  с  4-х сторон – 20%, </t>
    </r>
  </si>
  <si>
    <r>
      <t xml:space="preserve">за застройку 2-го этажа –30% от стоимости общей площади второго этажа </t>
    </r>
    <r>
      <rPr>
        <b/>
        <i/>
        <sz val="9"/>
        <rFont val="Arial Narrow"/>
        <family val="2"/>
      </rPr>
      <t>(см. «Условия участия»)</t>
    </r>
  </si>
  <si>
    <t>Для участников выставочной программы</t>
  </si>
  <si>
    <t>ДРУГИЕ ФОРМЫ УЧАСТИЯ В ВЫСТАВОЧНОЙ ПРОГРАММЕ</t>
  </si>
  <si>
    <r>
      <t>УЧАСТИЕ В ДЕЛОВОЙ ПРОГРАММЕ</t>
    </r>
    <r>
      <rPr>
        <i/>
        <sz val="10"/>
        <rFont val="Arial Narrow"/>
        <family val="2"/>
      </rPr>
      <t xml:space="preserve"> (по приложению №10 к Договору)</t>
    </r>
  </si>
  <si>
    <t>Для участников только деловой программы</t>
  </si>
  <si>
    <r>
      <t xml:space="preserve">Регистрационный  взнос участника выставки 
</t>
    </r>
    <r>
      <rPr>
        <i/>
        <sz val="10"/>
        <rFont val="Arial Narrow"/>
        <family val="2"/>
      </rPr>
      <t>(обязателен к оплате каждым участником выставочной программы)</t>
    </r>
  </si>
  <si>
    <t>Мероприятие выставочной программы, в котором Участник принимает участие:</t>
  </si>
  <si>
    <t>Отметьте цифрой “1” тематическую направленность вашей экспозиции</t>
  </si>
  <si>
    <t>По Приложению №1</t>
  </si>
  <si>
    <t>По Приложению №2</t>
  </si>
  <si>
    <t>По Приложению №3</t>
  </si>
  <si>
    <t>По Приложению №4</t>
  </si>
  <si>
    <t>По Приложению №5</t>
  </si>
  <si>
    <t>По Приложению №6</t>
  </si>
  <si>
    <t>По Приложению №7</t>
  </si>
  <si>
    <t>договору денежных средств осуществляется в соответствии с п.п. 11 Условий Участия в Выставке.</t>
  </si>
  <si>
    <t>ИТОГО ПО ЗАЯВКЕ (руб):</t>
  </si>
  <si>
    <t>НДС (18%) (руб):</t>
  </si>
  <si>
    <t>ИТОГО ПО ЗАЯВКЕ, ВКЛЮЧАЯ НДС (руб):</t>
  </si>
  <si>
    <t>Подтверждаю, что с Условиями участия в выставке ознакомлен.</t>
  </si>
  <si>
    <t xml:space="preserve">ВСЕГО ПО ДОГОВОРУ (руб) </t>
  </si>
  <si>
    <t xml:space="preserve">НДС (18%)  (руб) </t>
  </si>
  <si>
    <t xml:space="preserve">СУММА ПРОПИСЬЮ (руб) </t>
  </si>
  <si>
    <t>Итого по приложению,  (руб) :</t>
  </si>
  <si>
    <t xml:space="preserve">НДС (18%),  (руб) :    </t>
  </si>
  <si>
    <t>Итого к оплате по приложению (включая  НДС),   (руб) :</t>
  </si>
  <si>
    <t>Под ранним использованием выставочных площадей понимается заезд застройщика в павильон раньше официального периода начала монтажа для складирования выставочного оборудования и/или проведения монтажных работ. Стоимость  включает нахождение в павильоне и открытие монтажных ворот в период с 8.00 до 20.00. Возможность раннего заезда должна быть согласована в ЗАО "ОВК "БИЗОН".</t>
  </si>
  <si>
    <t>Кол-во кв.м.</t>
  </si>
  <si>
    <t>доб. 268</t>
  </si>
  <si>
    <t>УЧАСТИЕ В ОТДЕЛЬНЫХ МЕРОПРИЯТИЯХ</t>
  </si>
  <si>
    <t>Ответственный за демонстрационный показ</t>
  </si>
  <si>
    <t>Менеджер ArmHiTec</t>
  </si>
  <si>
    <t>Королькова Мария Алексеевна</t>
  </si>
  <si>
    <t>(485) 980 11 81, доб.114</t>
  </si>
  <si>
    <t>Гетта Юлия Игоревна</t>
  </si>
  <si>
    <t>(485) 980 11 81, доб.120</t>
  </si>
  <si>
    <t>Матафонова  Нина Александровна</t>
  </si>
  <si>
    <t>(495) 980 11 21, доб 117</t>
  </si>
  <si>
    <t>Персональные пропуска. Билеты</t>
  </si>
  <si>
    <t>Другие формы участия в мероприятиях деловой программы, реклама</t>
  </si>
  <si>
    <r>
      <t xml:space="preserve">Регистрационный взнос с 1-го делегата без доклада </t>
    </r>
    <r>
      <rPr>
        <i/>
        <sz val="10"/>
        <rFont val="Arial Narrow"/>
        <family val="2"/>
      </rPr>
      <t>для участников только деловой программы или за каждого дополнительного делегата свыше одного для участников выставки</t>
    </r>
  </si>
  <si>
    <t>Вернуть</t>
  </si>
  <si>
    <t>Билет на официальный прием</t>
  </si>
  <si>
    <t xml:space="preserve">Руководитель проекта </t>
  </si>
  <si>
    <t>Ответственный за деловую программу</t>
  </si>
  <si>
    <t>Заяц Юрий Михайлович</t>
  </si>
  <si>
    <t>Лысенко Елена Борисовна</t>
  </si>
  <si>
    <t>(495) 937-40-81, доб.212</t>
  </si>
  <si>
    <t>(495) 937-40-81, доб. 231</t>
  </si>
  <si>
    <t>(495) 937-40-81, 980-11-21</t>
  </si>
  <si>
    <t>(495) 937-40-81, доб.216</t>
  </si>
  <si>
    <t>(495) 980-11-21, доб.111</t>
  </si>
  <si>
    <t>(495) 980-11-21, доб.113</t>
  </si>
  <si>
    <t>(495) 937-40-81, доб.225</t>
  </si>
  <si>
    <t>(495) 937-40-81, доб. 222</t>
  </si>
  <si>
    <t>(495) 937-40-81, доб.233</t>
  </si>
  <si>
    <t xml:space="preserve">Телефон/ факс: (495) 937-40-81 E-mail: bizon@b95.ru    Web-site: http://www.b95.ru  </t>
  </si>
  <si>
    <t>Пропуска для персонала "Участник выставки"</t>
  </si>
  <si>
    <t>Ед. изм.</t>
  </si>
  <si>
    <t>Кол-во</t>
  </si>
  <si>
    <t xml:space="preserve"> -----</t>
  </si>
  <si>
    <t>Маричева Алла Федоровна</t>
  </si>
  <si>
    <t>Рабен Ирина Никифоровна</t>
  </si>
  <si>
    <t>шт.</t>
  </si>
  <si>
    <t>Организационное обеспечение предоставления выделенного канала доступа в Интернет на скорости до 1 Мб/с, без учета трафика (безлимитный), интерфейс Ethernet</t>
  </si>
  <si>
    <t>Витрина вертикальная 0.5 х 1.0 х 2.5 (h) м</t>
  </si>
  <si>
    <t>Печать на самоклеящейся пленке</t>
  </si>
  <si>
    <t>Печать баннера (с люверсами/ с карманами)</t>
  </si>
  <si>
    <t>Печать баннерная сетка (с люверсами)</t>
  </si>
  <si>
    <t xml:space="preserve">Почтовый адрес: </t>
  </si>
  <si>
    <t xml:space="preserve">в лице </t>
  </si>
  <si>
    <t xml:space="preserve">действующего на основании </t>
  </si>
  <si>
    <t>1. Предмет договора</t>
  </si>
  <si>
    <t>Выставочная площадь</t>
  </si>
  <si>
    <t>Площадь
стенда</t>
  </si>
  <si>
    <t>Кол-во
открытых
сторон</t>
  </si>
  <si>
    <t>Площадь
второго
этажа</t>
  </si>
  <si>
    <t>ИТОГО по выставочной площади:</t>
  </si>
  <si>
    <t>РЕГИСТРАЦИОННЫЙ ВЗНОС</t>
  </si>
  <si>
    <t>3. Срок действия договора</t>
  </si>
  <si>
    <t>5. Банковские реквизиты</t>
  </si>
  <si>
    <t xml:space="preserve">р/с </t>
  </si>
  <si>
    <t xml:space="preserve">к/с </t>
  </si>
  <si>
    <t xml:space="preserve">БИК </t>
  </si>
  <si>
    <t xml:space="preserve">с одной стороны и Закрытое акционерное общество "Объединение выставочных компаний "БИЗОН" (далее ЗАО "ОВК </t>
  </si>
  <si>
    <t>(подпись)</t>
  </si>
  <si>
    <r>
      <t>Юридический адрес:</t>
    </r>
    <r>
      <rPr>
        <b/>
        <sz val="10"/>
        <rFont val="Arial Narrow"/>
        <family val="2"/>
      </rPr>
      <t xml:space="preserve">  </t>
    </r>
  </si>
  <si>
    <t>Ковровое покрытие</t>
  </si>
  <si>
    <t>12-17 кв.м</t>
  </si>
  <si>
    <t>18-35 кв.м.</t>
  </si>
  <si>
    <t xml:space="preserve">27-30 сентября 2011 года </t>
  </si>
  <si>
    <t>"Безопасность. Сигнализация. Охрана — Астана" - Казахстанская международная специализированная выставка</t>
  </si>
  <si>
    <t>Казахстан, Астана</t>
  </si>
  <si>
    <t>"Технологии защиты-2011" - X Международный выставочный форум</t>
  </si>
  <si>
    <t>"Оружие и безопасность — 2011" - VIII Международная специализированная выставка.</t>
  </si>
  <si>
    <t>"Спастех-экспо" - VIII Специализированная выставка-ярмарка спасательных технологий и оборудования. 
"Пожтех-Экспо" - XIV Специализированная пожарно-техническая выставка-ярмарка 
"Антикриминал" - XIV Специализированная выставка-ярмарка охранных технологий и систем безопасности.</t>
  </si>
  <si>
    <t xml:space="preserve">Маричев Сергей Николаевич </t>
  </si>
  <si>
    <t>3. Предоставление Участнику дополнительных персональных пропусков, автопропусков и пригласительных билетов:</t>
  </si>
  <si>
    <t>3. Предоставление Участнику дополнительного времени работы в установленный период монтажа и демонтажа.</t>
  </si>
  <si>
    <t>Ваш персональный менеджер в ЗАО "ОВК "БИЗОН"</t>
  </si>
  <si>
    <t>к  Приложению №1 к Договору на участие в</t>
  </si>
  <si>
    <t>1. ЗАО "ОВК "БИЗОН" оказывает услуги по обеспечению Участника дополнительным персоналом, а Участник обязуется своевременно оплатить услуги и принять их выполнение.</t>
  </si>
  <si>
    <t>ПЕРЕВОДЧИК</t>
  </si>
  <si>
    <r>
      <t xml:space="preserve">СТЕНДИСТ </t>
    </r>
    <r>
      <rPr>
        <sz val="10"/>
        <rFont val="Arial Narrow"/>
        <family val="2"/>
      </rPr>
      <t>(ПОМОЩНИК НА СТЕНДЕ)</t>
    </r>
  </si>
  <si>
    <t>Место проведения для формы 1а</t>
  </si>
  <si>
    <t>1 кв.м. Открытой необорудованной площади</t>
  </si>
  <si>
    <t xml:space="preserve">Открытая необорудованная площадь </t>
  </si>
  <si>
    <t>рекламного паспорта.</t>
  </si>
  <si>
    <t xml:space="preserve">E-mail ПВН </t>
  </si>
  <si>
    <t xml:space="preserve">выставке </t>
  </si>
  <si>
    <t xml:space="preserve">в том числе оформление документов с правом подписи, а </t>
  </si>
  <si>
    <t xml:space="preserve">также получение служебных пропусков и каталога </t>
  </si>
  <si>
    <t>Основные документы, регламентирующие участие в</t>
  </si>
  <si>
    <t>Форма №1а</t>
  </si>
  <si>
    <t>Ф1а</t>
  </si>
  <si>
    <t>7. Подписи сторон</t>
  </si>
  <si>
    <t>ЭКСПОНАТЫ</t>
  </si>
  <si>
    <t>Ф1</t>
  </si>
  <si>
    <t>Полное наименование экспоната</t>
  </si>
  <si>
    <t>Код ТН ВЭД</t>
  </si>
  <si>
    <t>Форма показа (натурный образец, макет, фотопланшет, рекламный буклет)</t>
  </si>
  <si>
    <t>Открытая или закрытая площадь</t>
  </si>
  <si>
    <t>Габаритные характеристики</t>
  </si>
  <si>
    <t>Вес</t>
  </si>
  <si>
    <t>Примечание</t>
  </si>
  <si>
    <r>
      <t xml:space="preserve">Почтовый адрес: </t>
    </r>
    <r>
      <rPr>
        <sz val="10"/>
        <rFont val="Arial Narrow"/>
        <family val="2"/>
      </rPr>
      <t>129223, Москва, а/я10</t>
    </r>
  </si>
  <si>
    <t>г. Москва</t>
  </si>
  <si>
    <t>Итого по выставочной площади:</t>
  </si>
  <si>
    <t xml:space="preserve"> </t>
  </si>
  <si>
    <t>Страна</t>
  </si>
  <si>
    <t>Почтовый адрес</t>
  </si>
  <si>
    <t>"ИНТЕРПОЛИТЕХ-2012" - XVI Международная выставка
"ГРАНИЦА-2012" - XIV Международная выставка</t>
  </si>
  <si>
    <t>23 - 26 октября 2012 года</t>
  </si>
  <si>
    <t>За подключение до 30 кВт (380В)</t>
  </si>
  <si>
    <t>За подключение до 2 кВт (220В !)</t>
  </si>
  <si>
    <t>За подключение до 5 кВт (380В)</t>
  </si>
  <si>
    <t>За подключение до 10 кВт (380В)</t>
  </si>
  <si>
    <t>За подключение до 15 кВт (380В)</t>
  </si>
  <si>
    <t>За подключение до 25 кВт (380В)</t>
  </si>
  <si>
    <t>За подключение до 50 кВт (380В)</t>
  </si>
  <si>
    <t xml:space="preserve">Итого у.е. </t>
  </si>
  <si>
    <t>Воспроизведение презентаций участников мероприятия</t>
  </si>
  <si>
    <t>Плазменная панель 46 "</t>
  </si>
  <si>
    <t>Плазменная панель 55 "</t>
  </si>
  <si>
    <t>Плазменная панель 40 "</t>
  </si>
  <si>
    <t>Единица измерения                   (шт. - штук,                     к-т - комплект)</t>
  </si>
  <si>
    <r>
      <t xml:space="preserve">Примечание: </t>
    </r>
    <r>
      <rPr>
        <sz val="10"/>
        <rFont val="Arial Cyr"/>
        <family val="0"/>
      </rPr>
      <t xml:space="preserve">
1) В графе 6 указывается номер согласованного с Минобороны России рекламного паспорта ПВН, информация о которой содержится в
</t>
    </r>
  </si>
  <si>
    <t>рекламных материалах</t>
  </si>
  <si>
    <t>2) Участник обязан представить копии рекламного паспорта указанного образца и копии заключений ПДТК</t>
  </si>
  <si>
    <t>030</t>
  </si>
  <si>
    <t>Кострукция стенда и ковролин</t>
  </si>
  <si>
    <t>Логотип на фризовой панели</t>
  </si>
  <si>
    <t>1. ЗАО "ОВК "БИЗОН" оказывает услуги по предоставлению Участнику специализированных помещений выставочного центра и проекционного оборудования, а Участник обязуется своевременно оплатить услуги и принять их выполнение.</t>
  </si>
  <si>
    <t>Контактное лицо:</t>
  </si>
  <si>
    <t>Телефон:</t>
  </si>
  <si>
    <t>Откр. пл-дь:</t>
  </si>
  <si>
    <t>Отдел монтажно-оформительских работ</t>
  </si>
  <si>
    <t>Владимир Пучков</t>
  </si>
  <si>
    <t>Тел./факс:</t>
  </si>
  <si>
    <t xml:space="preserve"> +7 (495) 937-40-81</t>
  </si>
  <si>
    <t>ВОДА. САНТЕХНИЧЕСКИЕ РАБОТЫ</t>
  </si>
  <si>
    <t>Предоставить до:</t>
  </si>
  <si>
    <r>
      <t xml:space="preserve">ОБОРУДОВАНИЕ ВЫСТАВОЧНОЙ ПЛОЩАДИ
</t>
    </r>
    <r>
      <rPr>
        <sz val="10"/>
        <rFont val="Arial Narrow"/>
        <family val="2"/>
      </rPr>
      <t>стандартный стенд без учета дополнительного оборудования</t>
    </r>
  </si>
  <si>
    <t xml:space="preserve">Заочное участие </t>
  </si>
  <si>
    <r>
      <t xml:space="preserve">Стенд "ЭКОНОМ", </t>
    </r>
    <r>
      <rPr>
        <sz val="9"/>
        <rFont val="Arial Narrow"/>
        <family val="2"/>
      </rPr>
      <t>конструктив типа Конста</t>
    </r>
  </si>
  <si>
    <r>
      <t>Стенд "СТАНДАРТ",</t>
    </r>
    <r>
      <rPr>
        <sz val="9"/>
        <rFont val="Arial Narrow"/>
        <family val="2"/>
      </rPr>
      <t xml:space="preserve"> конструктив типа Октанорм стандартный</t>
    </r>
  </si>
  <si>
    <r>
      <t xml:space="preserve">Стандартное оборудование выставочной площади 
</t>
    </r>
    <r>
      <rPr>
        <i/>
        <sz val="9"/>
        <rFont val="Arial Narrow"/>
        <family val="2"/>
      </rPr>
      <t>без учета дополнительного оборудования, из расчета:</t>
    </r>
  </si>
  <si>
    <t xml:space="preserve">(подпись)       М.П.    </t>
  </si>
  <si>
    <t>Участие Соэкспонента</t>
  </si>
  <si>
    <t>№ к/ зала:</t>
  </si>
  <si>
    <t>Дата:</t>
  </si>
  <si>
    <t>Время:</t>
  </si>
  <si>
    <t>с русского на  европейский</t>
  </si>
  <si>
    <t>с русского на  восточный</t>
  </si>
  <si>
    <t>ОХРАНА ДЛЯ ОБЕСПЕЧЕНИЯ ПОРЯДКА</t>
  </si>
  <si>
    <t>Охранник ночной (за 1 ночь: с 18.00 до 10.00)</t>
  </si>
  <si>
    <t>№пав-на</t>
  </si>
  <si>
    <t>Неполный рабочий день оплачивается как полный</t>
  </si>
  <si>
    <t>Данные из формы заявки автоматически переносятся в договор, приложения и формы.</t>
  </si>
  <si>
    <t>Перед отправкой проверьте правильность заполнения.</t>
  </si>
  <si>
    <t>заверяются печатью предприятия и направляются по факсу: (495) 937 40 81</t>
  </si>
  <si>
    <t>Все заполненные формы подписываются руководителем предприятия-участника,</t>
  </si>
  <si>
    <t>Оформление участия начинается с заполнения предварительной заявки стр.1 и стр.2.</t>
  </si>
  <si>
    <t>6. Подписи сторон</t>
  </si>
  <si>
    <t>*</t>
  </si>
  <si>
    <t>Приложение №1</t>
  </si>
  <si>
    <t xml:space="preserve">Кол-во образцов </t>
  </si>
  <si>
    <t xml:space="preserve">В случае, если Участник предоставил недостоверную информацию об установленной мощности, и это повлекло за собой повреждение или утрату электросетей, оборудования павильона, другого имущества, то причиненный ущерб возмещает Участник.
</t>
  </si>
  <si>
    <t>За подключение до 100 кВт</t>
  </si>
  <si>
    <t>За подключение свыше  100 кВт</t>
  </si>
  <si>
    <t/>
  </si>
  <si>
    <t>Сдача объекта под охрану и снятие с охраны производится в присутствии представителя Участника. Норматив: 1 охранник на 30 кв.м.</t>
  </si>
  <si>
    <t>1. ЗАО "ОВК "БИЗОН" оказывает услуги по подключению стенда Участника к городской телефонной линии, сети Интернет, предоставлению презентационного оборудования на стенд Участника, а Участник обязуется своевременно оплатить услуги и принять их выполнение.</t>
  </si>
  <si>
    <t>За подключение согласованной мощности</t>
  </si>
  <si>
    <r>
      <t>Для российских участников.</t>
    </r>
    <r>
      <rPr>
        <sz val="10"/>
        <rFont val="Arial Cyr"/>
        <family val="0"/>
      </rPr>
      <t xml:space="preserve">
Участник обязан соблюдать требования Положения о проведении международных выставок образцов продукции военного назначения на территории иностранных государств, утвержденного постановлением Правительства Российской Федерации от </t>
    </r>
  </si>
  <si>
    <t>Производитель, Страна</t>
  </si>
  <si>
    <t>Марка</t>
  </si>
  <si>
    <t>Модель</t>
  </si>
  <si>
    <t>Калибр</t>
  </si>
  <si>
    <t>№№</t>
  </si>
  <si>
    <t>Год выпуска</t>
  </si>
  <si>
    <r>
      <t xml:space="preserve">ЭКСПОНАТЫ
</t>
    </r>
    <r>
      <rPr>
        <b/>
        <sz val="10"/>
        <rFont val="Arial Narrow"/>
        <family val="2"/>
      </rPr>
      <t>СПИСОК НОМЕРНОГО УЧЕТА ОРУЖИЯ</t>
    </r>
  </si>
  <si>
    <t>Форма №1б</t>
  </si>
  <si>
    <t>Ф1б</t>
  </si>
  <si>
    <r>
      <t>Стенд "ЭКОНОМ"</t>
    </r>
    <r>
      <rPr>
        <sz val="10"/>
        <rFont val="Arial Narrow"/>
        <family val="2"/>
      </rPr>
      <t xml:space="preserve"> - Конструктив типа Конста </t>
    </r>
  </si>
  <si>
    <t>Стенд Альфа</t>
  </si>
  <si>
    <t>Стенд Бета</t>
  </si>
  <si>
    <t>Стенд Гамма</t>
  </si>
  <si>
    <t>Международная выставка вооружения и оборонных технологий «ArmHiTec-2016»</t>
  </si>
  <si>
    <t>тлф. (495) 937-40-81 (доб. 208) </t>
  </si>
  <si>
    <t>lebedeva@b95.ru</t>
  </si>
  <si>
    <r>
      <t xml:space="preserve">К/счет   </t>
    </r>
    <r>
      <rPr>
        <sz val="11"/>
        <rFont val="Arial Narrow"/>
        <family val="2"/>
      </rPr>
      <t xml:space="preserve">№ 30101810400000000225  В Московском банке Сбербанка России ПАО г. Москва </t>
    </r>
    <r>
      <rPr>
        <b/>
        <sz val="11"/>
        <rFont val="Arial Narrow"/>
        <family val="2"/>
      </rPr>
      <t xml:space="preserve">БИК </t>
    </r>
    <r>
      <rPr>
        <sz val="11"/>
        <rFont val="Arial Narrow"/>
        <family val="2"/>
      </rPr>
      <t>044525225</t>
    </r>
  </si>
  <si>
    <t>Возможность и стоимость электрических подключений на открытой выставочной площади согласовывается в индивидуальном порядке.</t>
  </si>
  <si>
    <t>Предоставление источника электроэнергии для подключения стандартного оборудования, за 1 подключение (на период работы выставки) с установленной мощностью:</t>
  </si>
  <si>
    <t>ДЛЯ УЧАСТНИКОВ ДЕЛОВОЙ ПРОГРАММЫ И ДРУГИХ</t>
  </si>
  <si>
    <t>Для участников деловой программы и других</t>
  </si>
  <si>
    <t>Презентация экспонатов, изделий и др.продукции на специальной площадке павильона:</t>
  </si>
  <si>
    <t>3.4 Для организаций и предприятий не являющихся участниками выставочной программы:</t>
  </si>
  <si>
    <t xml:space="preserve">В Сбербанке России, ПАО г. Москва  </t>
  </si>
  <si>
    <t>Заяц Юрию Михайловичу</t>
  </si>
  <si>
    <t>Наименование образца ПВН</t>
  </si>
  <si>
    <t>Наличие                          согласованных ТТХ</t>
  </si>
  <si>
    <t xml:space="preserve">СПИСОК
номерного учета оружия, ввозимого для участия в </t>
  </si>
  <si>
    <t>* На ваш стенд будет проведен кабель с розеткой для подключения компьютера. Возможно подключение более одного компьютера, при условии ,что заказано соответствующее количество IP-адресов .</t>
  </si>
  <si>
    <t>(495) 937-40-81, доб. 225, 226</t>
  </si>
  <si>
    <t>(495) 937 40 81, доб. 225</t>
  </si>
  <si>
    <t>(495) 937-40-81, доб. 225</t>
  </si>
  <si>
    <t xml:space="preserve"> +7 (495) 937-40-81, доб.225</t>
  </si>
  <si>
    <t xml:space="preserve"> +7 (495) 937-40-81, доб. 225</t>
  </si>
  <si>
    <t>3. Участие в деловой программе выставки:</t>
  </si>
  <si>
    <t>Стандартные стенды и дополнительное оборудование</t>
  </si>
  <si>
    <t xml:space="preserve">Участник не допускается к участию в Выставке, если он не произвел окончательную оплату по настоящему Договору </t>
  </si>
  <si>
    <t>DVD - плеер</t>
  </si>
  <si>
    <t>Ноутбук</t>
  </si>
  <si>
    <t>Радиофицированная трибуна</t>
  </si>
  <si>
    <t>_______________</t>
  </si>
  <si>
    <t>Количество дней работы выставки</t>
  </si>
  <si>
    <t>КОНФЕРЕНЦ-ЗАЛ: А ( 200 мест) / Б (150 мест)/ В (150 мест)</t>
  </si>
  <si>
    <t>Презентационное оборудование в конференц-залах:</t>
  </si>
  <si>
    <t>Подключение к микшерному пульту оборудования клиента, за единицу оборудования</t>
  </si>
  <si>
    <t>Покрытие Wi-Fi в переговорной комнате (скорость передачи данных на одно устройство до 512 Кб/c)</t>
  </si>
  <si>
    <t>Презентационное оборудование в VIP комнате</t>
  </si>
  <si>
    <t>Срок подачи в ежедневную газету</t>
  </si>
  <si>
    <t xml:space="preserve">к  Договору на участие в 
</t>
  </si>
  <si>
    <t xml:space="preserve">№________ </t>
  </si>
  <si>
    <t xml:space="preserve">совершать все юридически значимые действия, связанные с участием предприятия в Международной </t>
  </si>
  <si>
    <t>Помарева Лариса Ивановна</t>
  </si>
  <si>
    <t>044525225</t>
  </si>
  <si>
    <t>(495) 937-40-81</t>
  </si>
  <si>
    <t>1 кв.м. необорудованной площади для демонстрации экспонатов</t>
  </si>
  <si>
    <t>1 кв.м. необорудованной площади С</t>
  </si>
  <si>
    <r>
      <t>Оружие и охота</t>
    </r>
    <r>
      <rPr>
        <sz val="9"/>
        <rFont val="Arial Narrow"/>
        <family val="2"/>
      </rPr>
      <t xml:space="preserve"> - специализированная экспозиция оружия, боеприпасов, оптики и снаряжения для активного отдыха</t>
    </r>
  </si>
  <si>
    <t xml:space="preserve">8. Настоящее Приложение составлено в двух экземплярах, имеющих одинаковую юридическую силу, по одному для каждой из сторон, является неотъемлемой частью Договора и вступает в силу с даты подписания обеими сторонами. </t>
  </si>
  <si>
    <t>9. Подписи сторон</t>
  </si>
  <si>
    <t xml:space="preserve">Участник выставки, демонстрирующий гражданское оружие, в обязательном порядке заключает приложение №3 (пункт 4) к  настоящему Договору на охрану оружия </t>
  </si>
  <si>
    <t>Круглосуточная охрана оружия</t>
  </si>
  <si>
    <t xml:space="preserve">оборудования, утверждённую печатью и подписью, не позднее </t>
  </si>
  <si>
    <t>4. Подключение кухонного и сантехнического оборудования, принадлежащего Участнику (или заказанного по Заявке №1), к сантехническому устройству павильона:</t>
  </si>
  <si>
    <t>5. Подключение к магистрали воздухопровода, включая подачу сжатого воздуха:</t>
  </si>
  <si>
    <t>3. Предоставление Участнику услуг по индивидуальной охране стенда:</t>
  </si>
  <si>
    <t>Итого к оплате по приложению, руб.:</t>
  </si>
  <si>
    <t>п.м.</t>
  </si>
  <si>
    <t>Дверь распашная +  замок</t>
  </si>
  <si>
    <t>Занавес</t>
  </si>
  <si>
    <t>кв.м.</t>
  </si>
  <si>
    <t>Стул барный</t>
  </si>
  <si>
    <t>Стол офисный D=0.8 м</t>
  </si>
  <si>
    <t>Генеральный директор</t>
  </si>
  <si>
    <t xml:space="preserve">Генеральный директор </t>
  </si>
  <si>
    <t>Генеральный Директор</t>
  </si>
  <si>
    <t>Стол переговорный 0.8 х 1.2 м</t>
  </si>
  <si>
    <t>Литературная стойка (буклетница)</t>
  </si>
  <si>
    <t>Полка настенная</t>
  </si>
  <si>
    <t>Спот-бра (светильник)</t>
  </si>
  <si>
    <t>Оклейка панелей цветной пленкой ORACAL</t>
  </si>
  <si>
    <t>кв.м</t>
  </si>
  <si>
    <t>ВЫСТАВОЧНАЯ  ПЛОЩАДЬ</t>
  </si>
  <si>
    <t>Количество подключений</t>
  </si>
  <si>
    <t xml:space="preserve">Подписанием предварительной заявки Участник подтверждает свое согласие с Условиями участия в выставке </t>
  </si>
  <si>
    <r>
      <t>ВНИМАНИЕ !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ПОРЯДОК ЗАПОЛНЕНИЯ:</t>
    </r>
    <r>
      <rPr>
        <sz val="10"/>
        <rFont val="Arial Narrow"/>
        <family val="2"/>
      </rPr>
      <t xml:space="preserve">
1. Данные в форму договора переносятся автоматически из форм заявок и Приложений.
2. Номер договора присваивается бухгалтерией ЗАО "ОВК "БИЗОН".
3. Необходимо заполнить ячейки, выделенные цветом:
- количество открытых сторон стенда;
- размер скидки (в случае ее предоставления);
- размеры и сроки платежей.
Заказ услуг по размещению различных видов рекламы на рекламоносителях выставки осуществляется на основании отдельного договора.
</t>
    </r>
    <r>
      <rPr>
        <b/>
        <sz val="10"/>
        <rFont val="Arial Narrow"/>
        <family val="2"/>
      </rPr>
      <t>Благодарим за сотрудничество !</t>
    </r>
    <r>
      <rPr>
        <sz val="10"/>
        <rFont val="Arial Narrow"/>
        <family val="2"/>
      </rPr>
      <t xml:space="preserve">
</t>
    </r>
  </si>
  <si>
    <t xml:space="preserve">Договором, оформленными приложениями №1-10 и «Условиями участия» в выставке. </t>
  </si>
  <si>
    <t>г) размещает баннер со ссылкой на сайт выставки Armhitec.com на сайте Участника до окончания выставки и размещает приглашение посетить стенд Участника в рекламе Участника, размещаемой в СМИ в период подготовки к выставке.</t>
  </si>
  <si>
    <t>*Стороны пришли к соглашению, что цена договора не является окончательной и подлежит изменению в случае подписания дополнительных соглашений к настоящему Договору, в том числе Приложений №1-10, подписанных не в день подписания настоящего договора.</t>
  </si>
  <si>
    <t xml:space="preserve">4.2. Стороны пришли к соглашению, что Приложения №1-10, подписанные не в день подписания настоящего договора, </t>
  </si>
  <si>
    <t>ст. 317 ГК РФ.</t>
  </si>
  <si>
    <t xml:space="preserve">Участника. К отношениям Сторон, связанным с исполнением обязательств по настоящему договору, не подлежат применению положения  </t>
  </si>
  <si>
    <t>АО "Научно-производственный центр "Вигстар"</t>
  </si>
  <si>
    <t>АО "НПЦ "Вигстар"</t>
  </si>
  <si>
    <t>Joint Stock Company "Research and production center "Vigstar"</t>
  </si>
  <si>
    <t xml:space="preserve">В </t>
  </si>
  <si>
    <t>117545, Москва, 1-й Дорожный проезд, д.8</t>
  </si>
  <si>
    <t>Россия</t>
  </si>
  <si>
    <t>7726687555</t>
  </si>
  <si>
    <t>772601001</t>
  </si>
  <si>
    <t>40702810838060014072</t>
  </si>
  <si>
    <t>в ПАО Сбербанке</t>
  </si>
  <si>
    <t>1117746976379</t>
  </si>
  <si>
    <t>46440997</t>
  </si>
  <si>
    <t>41</t>
  </si>
  <si>
    <t>Малогабаритная станция спутниковой связи Х-диапазона (образец)
Малогабаритные станции спутниковой связи С-диапазона (буклеты)
Перспективная антенная платформа (буклет) 
Станции спутниковой связи "Центавр-НМ" (буклет)
Системы пространственной режекции помех (буклет)</t>
  </si>
  <si>
    <t>Симонова Наталья Владимировна</t>
  </si>
  <si>
    <t>Начальник рекламно-выставочного отдела</t>
  </si>
  <si>
    <t>vigstar@vigstar.ru</t>
  </si>
  <si>
    <t>www.vigstar.ru</t>
  </si>
  <si>
    <t>(495) 276-52-01</t>
  </si>
  <si>
    <t>(495) 276-52-03</t>
  </si>
  <si>
    <t>(495) 276-52-71</t>
  </si>
  <si>
    <t>snv@vigstar.ru</t>
  </si>
  <si>
    <t>заместителя генерального директора по экономике и финансам Короткевича Олега Иосифовича</t>
  </si>
  <si>
    <t>Доверенности № 51 от 03.12.2015г.</t>
  </si>
  <si>
    <t>Заместитель генерального директора по экономике и финансам</t>
  </si>
  <si>
    <t>Короткевич Олег Иосифович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</si>
</sst>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$-409]#,##0.00"/>
    <numFmt numFmtId="169" formatCode="0.0"/>
    <numFmt numFmtId="170" formatCode="#,##0.00&quot;р.&quot;"/>
    <numFmt numFmtId="171" formatCode="[$-FC19]d\ mmmm\ yyyy\ &quot;г.&quot;"/>
    <numFmt numFmtId="172" formatCode="000000"/>
    <numFmt numFmtId="173" formatCode="0000"/>
    <numFmt numFmtId="174" formatCode="#,##0.00\ [$EUR]"/>
    <numFmt numFmtId="175" formatCode="#,##0.0"/>
    <numFmt numFmtId="176" formatCode="#,##0.000"/>
  </numFmts>
  <fonts count="153">
    <font>
      <sz val="10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.5"/>
      <name val="Arial Narrow"/>
      <family val="2"/>
    </font>
    <font>
      <b/>
      <u val="single"/>
      <sz val="10"/>
      <name val="Arial Narrow"/>
      <family val="2"/>
    </font>
    <font>
      <sz val="10.5"/>
      <name val="Arial Narrow"/>
      <family val="2"/>
    </font>
    <font>
      <sz val="14"/>
      <name val="Arial Narrow"/>
      <family val="2"/>
    </font>
    <font>
      <b/>
      <sz val="10"/>
      <name val="Arial Cyr"/>
      <family val="0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name val="Tahoma"/>
      <family val="0"/>
    </font>
    <font>
      <b/>
      <sz val="15"/>
      <name val="Tahoma"/>
      <family val="2"/>
    </font>
    <font>
      <b/>
      <sz val="15"/>
      <color indexed="10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50"/>
      <color indexed="9"/>
      <name val="Impact"/>
      <family val="2"/>
    </font>
    <font>
      <b/>
      <sz val="10.5"/>
      <name val="Arial Narrow"/>
      <family val="2"/>
    </font>
    <font>
      <b/>
      <sz val="10"/>
      <color indexed="8"/>
      <name val="Arial Narrow"/>
      <family val="2"/>
    </font>
    <font>
      <sz val="2"/>
      <name val="Arial Narrow"/>
      <family val="2"/>
    </font>
    <font>
      <b/>
      <sz val="10"/>
      <color indexed="10"/>
      <name val="Tahoma"/>
      <family val="2"/>
    </font>
    <font>
      <sz val="12"/>
      <name val="Arial Narrow"/>
      <family val="2"/>
    </font>
    <font>
      <b/>
      <sz val="2"/>
      <name val="Arial Narrow"/>
      <family val="2"/>
    </font>
    <font>
      <b/>
      <sz val="48"/>
      <color indexed="9"/>
      <name val="Arial Narrow"/>
      <family val="2"/>
    </font>
    <font>
      <b/>
      <sz val="40"/>
      <color indexed="9"/>
      <name val="Arial Narrow"/>
      <family val="2"/>
    </font>
    <font>
      <i/>
      <sz val="9"/>
      <name val="Arial Cyr"/>
      <family val="0"/>
    </font>
    <font>
      <b/>
      <sz val="16"/>
      <color indexed="10"/>
      <name val="Tahoma"/>
      <family val="2"/>
    </font>
    <font>
      <i/>
      <sz val="11"/>
      <name val="Arial Narrow"/>
      <family val="2"/>
    </font>
    <font>
      <vertAlign val="superscript"/>
      <sz val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50"/>
      <color indexed="9"/>
      <name val="Arial Narrow"/>
      <family val="2"/>
    </font>
    <font>
      <sz val="10"/>
      <color indexed="9"/>
      <name val="Arial Narrow"/>
      <family val="2"/>
    </font>
    <font>
      <b/>
      <sz val="15"/>
      <color indexed="9"/>
      <name val="Tahoma"/>
      <family val="2"/>
    </font>
    <font>
      <b/>
      <sz val="15"/>
      <color indexed="51"/>
      <name val="Tahoma"/>
      <family val="2"/>
    </font>
    <font>
      <b/>
      <sz val="12"/>
      <color indexed="51"/>
      <name val="Tahoma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9"/>
      <color indexed="9"/>
      <name val="Impact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b/>
      <sz val="36"/>
      <color indexed="9"/>
      <name val="Arial Narrow"/>
      <family val="2"/>
    </font>
    <font>
      <b/>
      <sz val="12"/>
      <color indexed="21"/>
      <name val="Tahoma"/>
      <family val="2"/>
    </font>
    <font>
      <sz val="9"/>
      <name val="Arial Cyr"/>
      <family val="0"/>
    </font>
    <font>
      <b/>
      <sz val="18"/>
      <color indexed="23"/>
      <name val="Arial"/>
      <family val="2"/>
    </font>
    <font>
      <i/>
      <sz val="2"/>
      <name val="Arial Narrow"/>
      <family val="2"/>
    </font>
    <font>
      <i/>
      <sz val="10"/>
      <name val="Arial Cyr"/>
      <family val="0"/>
    </font>
    <font>
      <sz val="12"/>
      <name val="Tahoma"/>
      <family val="2"/>
    </font>
    <font>
      <sz val="12"/>
      <color indexed="21"/>
      <name val="Tahoma"/>
      <family val="2"/>
    </font>
    <font>
      <b/>
      <sz val="20"/>
      <color indexed="9"/>
      <name val="Arial Narrow"/>
      <family val="2"/>
    </font>
    <font>
      <b/>
      <sz val="17"/>
      <color indexed="23"/>
      <name val="Arial"/>
      <family val="2"/>
    </font>
    <font>
      <b/>
      <sz val="15.5"/>
      <color indexed="23"/>
      <name val="Arial"/>
      <family val="2"/>
    </font>
    <font>
      <b/>
      <sz val="15"/>
      <color indexed="23"/>
      <name val="Arial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4"/>
      <color indexed="23"/>
      <name val="Arial"/>
      <family val="2"/>
    </font>
    <font>
      <b/>
      <i/>
      <sz val="10"/>
      <color indexed="17"/>
      <name val="Arial Narrow"/>
      <family val="2"/>
    </font>
    <font>
      <b/>
      <sz val="14"/>
      <color indexed="10"/>
      <name val="Arial Narrow"/>
      <family val="2"/>
    </font>
    <font>
      <b/>
      <sz val="10"/>
      <color indexed="17"/>
      <name val="Arial Cyr"/>
      <family val="0"/>
    </font>
    <font>
      <b/>
      <sz val="10"/>
      <color indexed="58"/>
      <name val="Arial Cyr"/>
      <family val="0"/>
    </font>
    <font>
      <b/>
      <sz val="10"/>
      <color indexed="58"/>
      <name val="Arial Narrow"/>
      <family val="2"/>
    </font>
    <font>
      <b/>
      <i/>
      <sz val="10"/>
      <color indexed="18"/>
      <name val="Arial Narrow"/>
      <family val="2"/>
    </font>
    <font>
      <b/>
      <sz val="18"/>
      <color indexed="18"/>
      <name val="Arial Narrow"/>
      <family val="2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u val="single"/>
      <sz val="9"/>
      <color indexed="18"/>
      <name val="Arial Narrow"/>
      <family val="2"/>
    </font>
    <font>
      <i/>
      <sz val="9"/>
      <color indexed="18"/>
      <name val="Arial Narrow"/>
      <family val="2"/>
    </font>
    <font>
      <sz val="9"/>
      <color indexed="8"/>
      <name val="Arial Narrow"/>
      <family val="2"/>
    </font>
    <font>
      <b/>
      <i/>
      <u val="single"/>
      <sz val="10"/>
      <color indexed="10"/>
      <name val="Arial Cyr"/>
      <family val="0"/>
    </font>
    <font>
      <b/>
      <sz val="9"/>
      <color indexed="17"/>
      <name val="Arial Narrow"/>
      <family val="2"/>
    </font>
    <font>
      <b/>
      <sz val="9"/>
      <name val="Arial Cyr"/>
      <family val="0"/>
    </font>
    <font>
      <sz val="9"/>
      <color indexed="10"/>
      <name val="Arial Cyr"/>
      <family val="0"/>
    </font>
    <font>
      <sz val="9"/>
      <color indexed="9"/>
      <name val="Arial Cyr"/>
      <family val="0"/>
    </font>
    <font>
      <b/>
      <sz val="9"/>
      <color indexed="10"/>
      <name val="Arial Narrow"/>
      <family val="2"/>
    </font>
    <font>
      <b/>
      <sz val="18"/>
      <color indexed="10"/>
      <name val="Arial Narrow"/>
      <family val="2"/>
    </font>
    <font>
      <sz val="10"/>
      <color indexed="10"/>
      <name val="Arial Cyr"/>
      <family val="0"/>
    </font>
    <font>
      <b/>
      <i/>
      <sz val="10"/>
      <color indexed="10"/>
      <name val="Arial Narrow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b/>
      <sz val="26"/>
      <color indexed="9"/>
      <name val="Arial Narrow"/>
      <family val="2"/>
    </font>
    <font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0"/>
      <color indexed="42"/>
      <name val="Arial Narrow"/>
      <family val="2"/>
    </font>
    <font>
      <sz val="10"/>
      <color indexed="41"/>
      <name val="Arial Narrow"/>
      <family val="2"/>
    </font>
    <font>
      <b/>
      <sz val="12"/>
      <color indexed="23"/>
      <name val="Arial"/>
      <family val="2"/>
    </font>
    <font>
      <b/>
      <i/>
      <u val="single"/>
      <sz val="8"/>
      <name val="Arial Narrow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23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i/>
      <sz val="10.5"/>
      <name val="Arial Narrow"/>
      <family val="2"/>
    </font>
    <font>
      <u val="single"/>
      <sz val="10"/>
      <color indexed="9"/>
      <name val="Arial Cyr"/>
      <family val="0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dashed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8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dashed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5" fillId="2" borderId="0" applyNumberFormat="0" applyBorder="0" applyAlignment="0" applyProtection="0"/>
    <xf numFmtId="0" fontId="135" fillId="3" borderId="0" applyNumberFormat="0" applyBorder="0" applyAlignment="0" applyProtection="0"/>
    <xf numFmtId="0" fontId="135" fillId="4" borderId="0" applyNumberFormat="0" applyBorder="0" applyAlignment="0" applyProtection="0"/>
    <xf numFmtId="0" fontId="135" fillId="5" borderId="0" applyNumberFormat="0" applyBorder="0" applyAlignment="0" applyProtection="0"/>
    <xf numFmtId="0" fontId="135" fillId="6" borderId="0" applyNumberFormat="0" applyBorder="0" applyAlignment="0" applyProtection="0"/>
    <xf numFmtId="0" fontId="135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9" borderId="0" applyNumberFormat="0" applyBorder="0" applyAlignment="0" applyProtection="0"/>
    <xf numFmtId="0" fontId="135" fillId="10" borderId="0" applyNumberFormat="0" applyBorder="0" applyAlignment="0" applyProtection="0"/>
    <xf numFmtId="0" fontId="135" fillId="11" borderId="0" applyNumberFormat="0" applyBorder="0" applyAlignment="0" applyProtection="0"/>
    <xf numFmtId="0" fontId="135" fillId="12" borderId="0" applyNumberFormat="0" applyBorder="0" applyAlignment="0" applyProtection="0"/>
    <xf numFmtId="0" fontId="135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1" applyNumberFormat="0" applyAlignment="0" applyProtection="0"/>
    <xf numFmtId="0" fontId="138" fillId="27" borderId="2" applyNumberFormat="0" applyAlignment="0" applyProtection="0"/>
    <xf numFmtId="0" fontId="1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6" applyNumberFormat="0" applyFill="0" applyAlignment="0" applyProtection="0"/>
    <xf numFmtId="0" fontId="144" fillId="28" borderId="7" applyNumberFormat="0" applyAlignment="0" applyProtection="0"/>
    <xf numFmtId="0" fontId="145" fillId="0" borderId="0" applyNumberFormat="0" applyFill="0" applyBorder="0" applyAlignment="0" applyProtection="0"/>
    <xf numFmtId="0" fontId="1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147" fillId="30" borderId="0" applyNumberFormat="0" applyBorder="0" applyAlignment="0" applyProtection="0"/>
    <xf numFmtId="0" fontId="1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1" fillId="32" borderId="0" applyNumberFormat="0" applyBorder="0" applyAlignment="0" applyProtection="0"/>
  </cellStyleXfs>
  <cellXfs count="13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24" fillId="33" borderId="0" xfId="0" applyFont="1" applyFill="1" applyAlignment="1" applyProtection="1">
      <alignment/>
      <protection locked="0"/>
    </xf>
    <xf numFmtId="0" fontId="24" fillId="33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1" xfId="0" applyFont="1" applyBorder="1" applyAlignment="1" applyProtection="1">
      <alignment/>
      <protection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 applyProtection="1">
      <alignment wrapText="1"/>
      <protection locked="0"/>
    </xf>
    <xf numFmtId="0" fontId="32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16" fillId="33" borderId="0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7" fillId="33" borderId="13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2" fontId="2" fillId="33" borderId="0" xfId="0" applyNumberFormat="1" applyFont="1" applyFill="1" applyBorder="1" applyAlignment="1">
      <alignment horizontal="left" vertical="center"/>
    </xf>
    <xf numFmtId="2" fontId="2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2" fontId="1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33" fillId="33" borderId="0" xfId="0" applyFont="1" applyFill="1" applyBorder="1" applyAlignment="1">
      <alignment vertical="top" wrapText="1"/>
    </xf>
    <xf numFmtId="0" fontId="33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wrapText="1" indent="2"/>
    </xf>
    <xf numFmtId="0" fontId="1" fillId="33" borderId="0" xfId="0" applyFont="1" applyFill="1" applyBorder="1" applyAlignment="1">
      <alignment horizontal="right" wrapText="1" indent="2"/>
    </xf>
    <xf numFmtId="0" fontId="1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wrapText="1"/>
    </xf>
    <xf numFmtId="0" fontId="3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 wrapText="1"/>
      <protection locked="0"/>
    </xf>
    <xf numFmtId="1" fontId="1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wrapText="1"/>
    </xf>
    <xf numFmtId="0" fontId="36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top" wrapText="1"/>
    </xf>
    <xf numFmtId="0" fontId="0" fillId="33" borderId="0" xfId="0" applyFill="1" applyAlignment="1" applyProtection="1">
      <alignment wrapText="1"/>
      <protection locked="0"/>
    </xf>
    <xf numFmtId="0" fontId="0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2" fillId="33" borderId="0" xfId="0" applyFont="1" applyFill="1" applyAlignment="1">
      <alignment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38" fillId="33" borderId="0" xfId="0" applyFont="1" applyFill="1" applyBorder="1" applyAlignment="1">
      <alignment vertical="center" wrapText="1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0" fillId="33" borderId="0" xfId="0" applyNumberFormat="1" applyFill="1" applyAlignment="1">
      <alignment wrapText="1"/>
    </xf>
    <xf numFmtId="0" fontId="48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/>
      <protection locked="0"/>
    </xf>
    <xf numFmtId="0" fontId="48" fillId="33" borderId="0" xfId="0" applyFont="1" applyFill="1" applyAlignment="1">
      <alignment/>
    </xf>
    <xf numFmtId="0" fontId="53" fillId="33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 horizontal="right"/>
      <protection/>
    </xf>
    <xf numFmtId="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31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right" vertical="center"/>
    </xf>
    <xf numFmtId="0" fontId="17" fillId="33" borderId="0" xfId="0" applyFont="1" applyFill="1" applyBorder="1" applyAlignment="1" applyProtection="1">
      <alignment vertical="center" wrapText="1"/>
      <protection locked="0"/>
    </xf>
    <xf numFmtId="0" fontId="17" fillId="33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 applyProtection="1">
      <alignment vertical="center" wrapText="1"/>
      <protection locked="0"/>
    </xf>
    <xf numFmtId="0" fontId="17" fillId="34" borderId="0" xfId="0" applyFont="1" applyFill="1" applyBorder="1" applyAlignment="1" applyProtection="1">
      <alignment horizontal="left" vertical="center" wrapText="1"/>
      <protection locked="0"/>
    </xf>
    <xf numFmtId="0" fontId="17" fillId="34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54" fillId="33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vertical="center" wrapText="1"/>
    </xf>
    <xf numFmtId="0" fontId="30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vertical="top"/>
    </xf>
    <xf numFmtId="3" fontId="1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17" fillId="34" borderId="0" xfId="0" applyFont="1" applyFill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center" wrapText="1" indent="2"/>
    </xf>
    <xf numFmtId="0" fontId="14" fillId="34" borderId="17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 applyProtection="1">
      <alignment horizontal="left" vertical="center" wrapText="1"/>
      <protection locked="0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35" fillId="33" borderId="0" xfId="0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top" wrapText="1"/>
    </xf>
    <xf numFmtId="4" fontId="1" fillId="33" borderId="18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/>
    </xf>
    <xf numFmtId="0" fontId="17" fillId="33" borderId="19" xfId="0" applyFont="1" applyFill="1" applyBorder="1" applyAlignment="1" applyProtection="1">
      <alignment vertical="center" wrapText="1"/>
      <protection locked="0"/>
    </xf>
    <xf numFmtId="0" fontId="17" fillId="33" borderId="19" xfId="0" applyFont="1" applyFill="1" applyBorder="1" applyAlignment="1">
      <alignment horizontal="left"/>
    </xf>
    <xf numFmtId="0" fontId="16" fillId="33" borderId="19" xfId="0" applyFont="1" applyFill="1" applyBorder="1" applyAlignment="1">
      <alignment/>
    </xf>
    <xf numFmtId="0" fontId="14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2" fillId="33" borderId="19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/>
    </xf>
    <xf numFmtId="0" fontId="54" fillId="33" borderId="19" xfId="0" applyFont="1" applyFill="1" applyBorder="1" applyAlignment="1">
      <alignment vertical="top"/>
    </xf>
    <xf numFmtId="0" fontId="16" fillId="33" borderId="19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 wrapText="1"/>
    </xf>
    <xf numFmtId="0" fontId="29" fillId="33" borderId="25" xfId="0" applyFont="1" applyFill="1" applyBorder="1" applyAlignment="1" applyProtection="1">
      <alignment vertical="center"/>
      <protection locked="0"/>
    </xf>
    <xf numFmtId="0" fontId="17" fillId="33" borderId="19" xfId="0" applyFont="1" applyFill="1" applyBorder="1" applyAlignment="1">
      <alignment/>
    </xf>
    <xf numFmtId="0" fontId="17" fillId="33" borderId="19" xfId="0" applyFont="1" applyFill="1" applyBorder="1" applyAlignment="1" applyProtection="1">
      <alignment horizontal="left" vertical="center" wrapText="1"/>
      <protection locked="0"/>
    </xf>
    <xf numFmtId="0" fontId="16" fillId="33" borderId="19" xfId="0" applyFont="1" applyFill="1" applyBorder="1" applyAlignment="1">
      <alignment horizontal="left" vertical="top"/>
    </xf>
    <xf numFmtId="0" fontId="16" fillId="33" borderId="19" xfId="0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3" fillId="33" borderId="29" xfId="0" applyFont="1" applyFill="1" applyBorder="1" applyAlignment="1">
      <alignment vertical="center"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49" fontId="2" fillId="33" borderId="31" xfId="0" applyNumberFormat="1" applyFont="1" applyFill="1" applyBorder="1" applyAlignment="1">
      <alignment vertical="center"/>
    </xf>
    <xf numFmtId="49" fontId="1" fillId="33" borderId="31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49" fontId="2" fillId="33" borderId="31" xfId="0" applyNumberFormat="1" applyFont="1" applyFill="1" applyBorder="1" applyAlignment="1">
      <alignment/>
    </xf>
    <xf numFmtId="49" fontId="1" fillId="33" borderId="23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0" fontId="2" fillId="33" borderId="29" xfId="0" applyFont="1" applyFill="1" applyBorder="1" applyAlignment="1">
      <alignment vertical="center"/>
    </xf>
    <xf numFmtId="0" fontId="2" fillId="33" borderId="31" xfId="0" applyFont="1" applyFill="1" applyBorder="1" applyAlignment="1">
      <alignment/>
    </xf>
    <xf numFmtId="0" fontId="13" fillId="33" borderId="21" xfId="0" applyFont="1" applyFill="1" applyBorder="1" applyAlignment="1">
      <alignment horizontal="left" vertical="top"/>
    </xf>
    <xf numFmtId="0" fontId="1" fillId="33" borderId="31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2" fillId="33" borderId="33" xfId="0" applyFont="1" applyFill="1" applyBorder="1" applyAlignment="1" applyProtection="1">
      <alignment/>
      <protection locked="0"/>
    </xf>
    <xf numFmtId="0" fontId="2" fillId="33" borderId="31" xfId="0" applyFont="1" applyFill="1" applyBorder="1" applyAlignment="1" applyProtection="1">
      <alignment/>
      <protection locked="0"/>
    </xf>
    <xf numFmtId="0" fontId="21" fillId="33" borderId="22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top" wrapText="1" indent="1"/>
    </xf>
    <xf numFmtId="3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14" fillId="33" borderId="0" xfId="0" applyFont="1" applyFill="1" applyAlignment="1" applyProtection="1">
      <alignment horizontal="left" vertical="top" wrapText="1"/>
      <protection/>
    </xf>
    <xf numFmtId="0" fontId="2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center"/>
      <protection locked="0"/>
    </xf>
    <xf numFmtId="0" fontId="17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vertical="top"/>
    </xf>
    <xf numFmtId="0" fontId="16" fillId="0" borderId="29" xfId="0" applyFont="1" applyBorder="1" applyAlignment="1">
      <alignment/>
    </xf>
    <xf numFmtId="0" fontId="16" fillId="33" borderId="29" xfId="0" applyFont="1" applyFill="1" applyBorder="1" applyAlignment="1">
      <alignment/>
    </xf>
    <xf numFmtId="0" fontId="1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>
      <alignment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0" xfId="0" applyNumberFormat="1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 wrapText="1"/>
    </xf>
    <xf numFmtId="0" fontId="16" fillId="33" borderId="0" xfId="0" applyFont="1" applyFill="1" applyAlignment="1">
      <alignment vertical="top"/>
    </xf>
    <xf numFmtId="0" fontId="59" fillId="33" borderId="0" xfId="0" applyFont="1" applyFill="1" applyAlignment="1">
      <alignment wrapText="1"/>
    </xf>
    <xf numFmtId="0" fontId="59" fillId="0" borderId="0" xfId="0" applyFont="1" applyAlignment="1">
      <alignment wrapText="1"/>
    </xf>
    <xf numFmtId="0" fontId="16" fillId="0" borderId="0" xfId="0" applyFont="1" applyBorder="1" applyAlignment="1">
      <alignment/>
    </xf>
    <xf numFmtId="0" fontId="16" fillId="33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4" fillId="33" borderId="0" xfId="0" applyFont="1" applyFill="1" applyBorder="1" applyAlignment="1">
      <alignment wrapText="1"/>
    </xf>
    <xf numFmtId="0" fontId="16" fillId="33" borderId="0" xfId="0" applyFont="1" applyFill="1" applyAlignment="1" applyProtection="1">
      <alignment/>
      <protection locked="0"/>
    </xf>
    <xf numFmtId="0" fontId="14" fillId="0" borderId="18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vertical="top" wrapText="1"/>
    </xf>
    <xf numFmtId="0" fontId="14" fillId="33" borderId="0" xfId="0" applyFont="1" applyFill="1" applyAlignment="1">
      <alignment horizontal="right" vertical="center" wrapText="1" indent="2"/>
    </xf>
    <xf numFmtId="0" fontId="14" fillId="33" borderId="0" xfId="0" applyFont="1" applyFill="1" applyBorder="1" applyAlignment="1">
      <alignment horizontal="right" vertical="center" wrapText="1" indent="2"/>
    </xf>
    <xf numFmtId="0" fontId="14" fillId="33" borderId="0" xfId="0" applyFont="1" applyFill="1" applyAlignment="1">
      <alignment wrapText="1"/>
    </xf>
    <xf numFmtId="0" fontId="16" fillId="33" borderId="0" xfId="0" applyFont="1" applyFill="1" applyAlignment="1">
      <alignment horizontal="right" vertical="center" indent="2"/>
    </xf>
    <xf numFmtId="4" fontId="14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justify" vertical="top" wrapText="1"/>
    </xf>
    <xf numFmtId="0" fontId="14" fillId="33" borderId="0" xfId="0" applyFont="1" applyFill="1" applyAlignment="1">
      <alignment horizontal="justify" vertical="top" wrapText="1"/>
    </xf>
    <xf numFmtId="0" fontId="4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5" fillId="34" borderId="0" xfId="0" applyFont="1" applyFill="1" applyBorder="1" applyAlignment="1">
      <alignment vertical="center"/>
    </xf>
    <xf numFmtId="0" fontId="55" fillId="34" borderId="0" xfId="0" applyFont="1" applyFill="1" applyBorder="1" applyAlignment="1">
      <alignment horizontal="left" vertical="center"/>
    </xf>
    <xf numFmtId="0" fontId="14" fillId="34" borderId="35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vertical="center" wrapText="1"/>
      <protection locked="0"/>
    </xf>
    <xf numFmtId="49" fontId="57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16" fillId="33" borderId="19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left" wrapText="1"/>
    </xf>
    <xf numFmtId="0" fontId="17" fillId="33" borderId="37" xfId="0" applyFont="1" applyFill="1" applyBorder="1" applyAlignment="1">
      <alignment horizontal="left"/>
    </xf>
    <xf numFmtId="0" fontId="17" fillId="35" borderId="12" xfId="0" applyFont="1" applyFill="1" applyBorder="1" applyAlignment="1">
      <alignment horizontal="left"/>
    </xf>
    <xf numFmtId="0" fontId="17" fillId="34" borderId="12" xfId="0" applyFont="1" applyFill="1" applyBorder="1" applyAlignment="1">
      <alignment horizontal="left"/>
    </xf>
    <xf numFmtId="0" fontId="17" fillId="33" borderId="29" xfId="0" applyFont="1" applyFill="1" applyBorder="1" applyAlignment="1" applyProtection="1">
      <alignment vertical="center" wrapText="1"/>
      <protection locked="0"/>
    </xf>
    <xf numFmtId="0" fontId="17" fillId="33" borderId="29" xfId="0" applyFont="1" applyFill="1" applyBorder="1" applyAlignment="1">
      <alignment horizontal="left"/>
    </xf>
    <xf numFmtId="0" fontId="0" fillId="33" borderId="29" xfId="0" applyFill="1" applyBorder="1" applyAlignment="1">
      <alignment/>
    </xf>
    <xf numFmtId="0" fontId="54" fillId="33" borderId="29" xfId="0" applyFont="1" applyFill="1" applyBorder="1" applyAlignment="1">
      <alignment vertical="top"/>
    </xf>
    <xf numFmtId="0" fontId="16" fillId="33" borderId="29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right" vertical="center" wrapText="1"/>
    </xf>
    <xf numFmtId="0" fontId="0" fillId="33" borderId="0" xfId="0" applyFill="1" applyBorder="1" applyAlignment="1" applyProtection="1">
      <alignment wrapText="1"/>
      <protection locked="0"/>
    </xf>
    <xf numFmtId="0" fontId="2" fillId="33" borderId="18" xfId="0" applyFont="1" applyFill="1" applyBorder="1" applyAlignment="1" applyProtection="1">
      <alignment horizontal="left" vertical="center" wrapText="1"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top" wrapText="1"/>
    </xf>
    <xf numFmtId="0" fontId="62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60" fillId="33" borderId="0" xfId="0" applyFont="1" applyFill="1" applyAlignment="1">
      <alignment vertical="center" textRotation="90"/>
    </xf>
    <xf numFmtId="0" fontId="2" fillId="33" borderId="19" xfId="0" applyFont="1" applyFill="1" applyBorder="1" applyAlignment="1">
      <alignment/>
    </xf>
    <xf numFmtId="0" fontId="2" fillId="33" borderId="39" xfId="0" applyFont="1" applyFill="1" applyBorder="1" applyAlignment="1">
      <alignment vertical="center"/>
    </xf>
    <xf numFmtId="0" fontId="2" fillId="33" borderId="39" xfId="0" applyFont="1" applyFill="1" applyBorder="1" applyAlignment="1">
      <alignment horizontal="right" vertical="center"/>
    </xf>
    <xf numFmtId="0" fontId="1" fillId="33" borderId="39" xfId="0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38" fillId="33" borderId="19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right" vertical="center"/>
    </xf>
    <xf numFmtId="0" fontId="23" fillId="33" borderId="0" xfId="0" applyFont="1" applyFill="1" applyAlignment="1" applyProtection="1">
      <alignment/>
      <protection/>
    </xf>
    <xf numFmtId="0" fontId="1" fillId="0" borderId="22" xfId="0" applyFont="1" applyBorder="1" applyAlignment="1" applyProtection="1">
      <alignment horizontal="left" vertical="center" wrapText="1" indent="1"/>
      <protection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17" fillId="33" borderId="16" xfId="0" applyFont="1" applyFill="1" applyBorder="1" applyAlignment="1" applyProtection="1">
      <alignment horizontal="left" vertical="top"/>
      <protection/>
    </xf>
    <xf numFmtId="0" fontId="17" fillId="33" borderId="0" xfId="0" applyFont="1" applyFill="1" applyAlignment="1" applyProtection="1">
      <alignment horizontal="center" vertical="top"/>
      <protection/>
    </xf>
    <xf numFmtId="0" fontId="17" fillId="33" borderId="15" xfId="0" applyFont="1" applyFill="1" applyBorder="1" applyAlignment="1">
      <alignment/>
    </xf>
    <xf numFmtId="0" fontId="16" fillId="33" borderId="0" xfId="0" applyFont="1" applyFill="1" applyAlignment="1">
      <alignment horizontal="right"/>
    </xf>
    <xf numFmtId="0" fontId="1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9" fontId="2" fillId="0" borderId="20" xfId="0" applyNumberFormat="1" applyFont="1" applyBorder="1" applyAlignment="1">
      <alignment horizontal="center" vertical="center" wrapText="1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 applyProtection="1">
      <alignment horizontal="right" vertical="top" wrapText="1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7" fillId="33" borderId="40" xfId="0" applyFont="1" applyFill="1" applyBorder="1" applyAlignment="1" applyProtection="1">
      <alignment/>
      <protection/>
    </xf>
    <xf numFmtId="0" fontId="7" fillId="33" borderId="40" xfId="0" applyFont="1" applyFill="1" applyBorder="1" applyAlignment="1" applyProtection="1">
      <alignment horizontal="center"/>
      <protection/>
    </xf>
    <xf numFmtId="0" fontId="2" fillId="33" borderId="40" xfId="0" applyFont="1" applyFill="1" applyBorder="1" applyAlignment="1">
      <alignment/>
    </xf>
    <xf numFmtId="0" fontId="66" fillId="33" borderId="0" xfId="0" applyFont="1" applyFill="1" applyAlignment="1">
      <alignment vertical="center" textRotation="90"/>
    </xf>
    <xf numFmtId="0" fontId="10" fillId="33" borderId="0" xfId="0" applyFont="1" applyFill="1" applyBorder="1" applyAlignment="1">
      <alignment vertical="top" wrapText="1"/>
    </xf>
    <xf numFmtId="0" fontId="14" fillId="33" borderId="0" xfId="0" applyFont="1" applyFill="1" applyAlignment="1" applyProtection="1">
      <alignment vertical="top" wrapText="1"/>
      <protection/>
    </xf>
    <xf numFmtId="0" fontId="67" fillId="33" borderId="0" xfId="0" applyFont="1" applyFill="1" applyAlignment="1">
      <alignment vertical="center" textRotation="90"/>
    </xf>
    <xf numFmtId="0" fontId="7" fillId="33" borderId="0" xfId="0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23" fillId="33" borderId="0" xfId="0" applyFont="1" applyFill="1" applyAlignment="1">
      <alignment/>
    </xf>
    <xf numFmtId="3" fontId="16" fillId="33" borderId="0" xfId="0" applyNumberFormat="1" applyFont="1" applyFill="1" applyBorder="1" applyAlignment="1">
      <alignment vertical="center" wrapText="1"/>
    </xf>
    <xf numFmtId="3" fontId="16" fillId="33" borderId="31" xfId="0" applyNumberFormat="1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right"/>
    </xf>
    <xf numFmtId="0" fontId="16" fillId="33" borderId="32" xfId="0" applyFont="1" applyFill="1" applyBorder="1" applyAlignment="1">
      <alignment/>
    </xf>
    <xf numFmtId="1" fontId="1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vertical="center" wrapText="1"/>
    </xf>
    <xf numFmtId="0" fontId="7" fillId="33" borderId="0" xfId="0" applyNumberFormat="1" applyFont="1" applyFill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>
      <alignment/>
    </xf>
    <xf numFmtId="0" fontId="56" fillId="33" borderId="19" xfId="0" applyFont="1" applyFill="1" applyBorder="1" applyAlignment="1">
      <alignment/>
    </xf>
    <xf numFmtId="0" fontId="14" fillId="33" borderId="0" xfId="0" applyFont="1" applyFill="1" applyBorder="1" applyAlignment="1">
      <alignment horizontal="left" vertical="top"/>
    </xf>
    <xf numFmtId="0" fontId="13" fillId="33" borderId="40" xfId="0" applyFont="1" applyFill="1" applyBorder="1" applyAlignment="1" applyProtection="1">
      <alignment vertical="center" wrapText="1"/>
      <protection/>
    </xf>
    <xf numFmtId="0" fontId="1" fillId="34" borderId="41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 applyProtection="1">
      <alignment horizontal="left"/>
      <protection locked="0"/>
    </xf>
    <xf numFmtId="49" fontId="7" fillId="36" borderId="43" xfId="0" applyNumberFormat="1" applyFont="1" applyFill="1" applyBorder="1" applyAlignment="1" applyProtection="1">
      <alignment horizontal="left"/>
      <protection locked="0"/>
    </xf>
    <xf numFmtId="0" fontId="1" fillId="36" borderId="44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 horizontal="right"/>
      <protection/>
    </xf>
    <xf numFmtId="0" fontId="2" fillId="36" borderId="0" xfId="0" applyFont="1" applyFill="1" applyAlignment="1" applyProtection="1">
      <alignment/>
      <protection/>
    </xf>
    <xf numFmtId="0" fontId="22" fillId="36" borderId="0" xfId="0" applyFont="1" applyFill="1" applyAlignment="1" applyProtection="1">
      <alignment/>
      <protection/>
    </xf>
    <xf numFmtId="0" fontId="0" fillId="36" borderId="0" xfId="0" applyFill="1" applyAlignment="1">
      <alignment/>
    </xf>
    <xf numFmtId="0" fontId="2" fillId="36" borderId="0" xfId="0" applyFont="1" applyFill="1" applyBorder="1" applyAlignment="1" applyProtection="1">
      <alignment vertical="center"/>
      <protection/>
    </xf>
    <xf numFmtId="0" fontId="52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49" fontId="7" fillId="36" borderId="42" xfId="0" applyNumberFormat="1" applyFont="1" applyFill="1" applyBorder="1" applyAlignment="1" applyProtection="1">
      <alignment horizontal="left"/>
      <protection locked="0"/>
    </xf>
    <xf numFmtId="49" fontId="7" fillId="36" borderId="42" xfId="0" applyNumberFormat="1" applyFont="1" applyFill="1" applyBorder="1" applyAlignment="1" applyProtection="1">
      <alignment/>
      <protection locked="0"/>
    </xf>
    <xf numFmtId="0" fontId="7" fillId="36" borderId="43" xfId="0" applyFont="1" applyFill="1" applyBorder="1" applyAlignment="1" applyProtection="1">
      <alignment horizontal="left"/>
      <protection locked="0"/>
    </xf>
    <xf numFmtId="0" fontId="5" fillId="36" borderId="42" xfId="42" applyFont="1" applyFill="1" applyBorder="1" applyAlignment="1" applyProtection="1">
      <alignment horizontal="left"/>
      <protection locked="0"/>
    </xf>
    <xf numFmtId="0" fontId="16" fillId="36" borderId="34" xfId="0" applyFont="1" applyFill="1" applyBorder="1" applyAlignment="1" applyProtection="1">
      <alignment horizontal="center" vertical="center" wrapText="1"/>
      <protection locked="0"/>
    </xf>
    <xf numFmtId="0" fontId="16" fillId="36" borderId="18" xfId="0" applyFont="1" applyFill="1" applyBorder="1" applyAlignment="1" applyProtection="1">
      <alignment horizontal="center" vertical="center" wrapText="1"/>
      <protection locked="0"/>
    </xf>
    <xf numFmtId="0" fontId="2" fillId="36" borderId="19" xfId="0" applyFont="1" applyFill="1" applyBorder="1" applyAlignment="1" applyProtection="1">
      <alignment vertical="center" wrapText="1"/>
      <protection locked="0"/>
    </xf>
    <xf numFmtId="49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19" xfId="0" applyFont="1" applyFill="1" applyBorder="1" applyAlignment="1" applyProtection="1">
      <alignment wrapText="1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0" fillId="36" borderId="43" xfId="0" applyFill="1" applyBorder="1" applyAlignment="1" applyProtection="1">
      <alignment/>
      <protection locked="0"/>
    </xf>
    <xf numFmtId="0" fontId="68" fillId="33" borderId="0" xfId="0" applyFont="1" applyFill="1" applyAlignment="1">
      <alignment vertical="center" textRotation="90"/>
    </xf>
    <xf numFmtId="0" fontId="13" fillId="33" borderId="0" xfId="0" applyFont="1" applyFill="1" applyBorder="1" applyAlignment="1">
      <alignment vertical="center" wrapText="1"/>
    </xf>
    <xf numFmtId="0" fontId="13" fillId="33" borderId="45" xfId="0" applyFont="1" applyFill="1" applyBorder="1" applyAlignment="1">
      <alignment vertical="center" wrapText="1"/>
    </xf>
    <xf numFmtId="0" fontId="72" fillId="33" borderId="0" xfId="0" applyFont="1" applyFill="1" applyBorder="1" applyAlignment="1">
      <alignment horizontal="center"/>
    </xf>
    <xf numFmtId="0" fontId="74" fillId="36" borderId="0" xfId="0" applyFont="1" applyFill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77" fillId="33" borderId="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78" fillId="37" borderId="18" xfId="0" applyFont="1" applyFill="1" applyBorder="1" applyAlignment="1" applyProtection="1">
      <alignment horizontal="center" vertical="center" wrapText="1"/>
      <protection locked="0"/>
    </xf>
    <xf numFmtId="0" fontId="14" fillId="33" borderId="18" xfId="0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38" borderId="47" xfId="0" applyFont="1" applyFill="1" applyBorder="1" applyAlignment="1">
      <alignment horizontal="center" vertical="center" wrapText="1"/>
    </xf>
    <xf numFmtId="0" fontId="52" fillId="33" borderId="0" xfId="0" applyFont="1" applyFill="1" applyAlignment="1" applyProtection="1">
      <alignment/>
      <protection/>
    </xf>
    <xf numFmtId="0" fontId="53" fillId="33" borderId="0" xfId="0" applyFont="1" applyFill="1" applyAlignment="1" applyProtection="1">
      <alignment wrapText="1"/>
      <protection/>
    </xf>
    <xf numFmtId="0" fontId="16" fillId="38" borderId="18" xfId="0" applyFont="1" applyFill="1" applyBorder="1" applyAlignment="1">
      <alignment horizontal="center" vertical="center" wrapText="1"/>
    </xf>
    <xf numFmtId="0" fontId="84" fillId="33" borderId="0" xfId="42" applyFont="1" applyFill="1" applyAlignment="1" applyProtection="1">
      <alignment/>
      <protection hidden="1" locked="0"/>
    </xf>
    <xf numFmtId="0" fontId="85" fillId="36" borderId="0" xfId="0" applyFont="1" applyFill="1" applyAlignment="1" applyProtection="1">
      <alignment horizontal="right" vertical="top"/>
      <protection/>
    </xf>
    <xf numFmtId="0" fontId="59" fillId="36" borderId="48" xfId="0" applyFont="1" applyFill="1" applyBorder="1" applyAlignment="1" applyProtection="1">
      <alignment vertical="top"/>
      <protection/>
    </xf>
    <xf numFmtId="0" fontId="59" fillId="36" borderId="49" xfId="0" applyFont="1" applyFill="1" applyBorder="1" applyAlignment="1" applyProtection="1">
      <alignment/>
      <protection/>
    </xf>
    <xf numFmtId="0" fontId="59" fillId="36" borderId="50" xfId="0" applyFont="1" applyFill="1" applyBorder="1" applyAlignment="1" applyProtection="1">
      <alignment/>
      <protection/>
    </xf>
    <xf numFmtId="0" fontId="59" fillId="36" borderId="51" xfId="0" applyFont="1" applyFill="1" applyBorder="1" applyAlignment="1" applyProtection="1">
      <alignment/>
      <protection/>
    </xf>
    <xf numFmtId="0" fontId="87" fillId="33" borderId="0" xfId="0" applyFont="1" applyFill="1" applyAlignment="1" applyProtection="1">
      <alignment/>
      <protection/>
    </xf>
    <xf numFmtId="0" fontId="88" fillId="33" borderId="0" xfId="0" applyFont="1" applyFill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59" fillId="36" borderId="51" xfId="0" applyFont="1" applyFill="1" applyBorder="1" applyAlignment="1" applyProtection="1">
      <alignment vertical="top"/>
      <protection/>
    </xf>
    <xf numFmtId="0" fontId="59" fillId="36" borderId="51" xfId="0" applyFont="1" applyFill="1" applyBorder="1" applyAlignment="1" applyProtection="1">
      <alignment vertical="top" wrapText="1"/>
      <protection/>
    </xf>
    <xf numFmtId="0" fontId="59" fillId="36" borderId="51" xfId="0" applyFont="1" applyFill="1" applyBorder="1" applyAlignment="1" applyProtection="1">
      <alignment vertical="center"/>
      <protection/>
    </xf>
    <xf numFmtId="0" fontId="59" fillId="36" borderId="48" xfId="0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hidden="1" locked="0"/>
    </xf>
    <xf numFmtId="0" fontId="2" fillId="0" borderId="0" xfId="0" applyFont="1" applyAlignment="1">
      <alignment horizontal="left"/>
    </xf>
    <xf numFmtId="0" fontId="89" fillId="36" borderId="0" xfId="0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 vertical="top"/>
      <protection hidden="1" locked="0"/>
    </xf>
    <xf numFmtId="0" fontId="5" fillId="39" borderId="52" xfId="42" applyNumberFormat="1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20" fillId="33" borderId="32" xfId="0" applyFont="1" applyFill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31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91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49" fontId="12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40" borderId="17" xfId="0" applyFont="1" applyFill="1" applyBorder="1" applyAlignment="1">
      <alignment horizontal="center" vertical="center" wrapText="1"/>
    </xf>
    <xf numFmtId="44" fontId="59" fillId="33" borderId="0" xfId="0" applyNumberFormat="1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0" xfId="0" applyFont="1" applyFill="1" applyAlignment="1" applyProtection="1">
      <alignment wrapText="1"/>
      <protection/>
    </xf>
    <xf numFmtId="0" fontId="87" fillId="33" borderId="0" xfId="0" applyFont="1" applyFill="1" applyAlignment="1" applyProtection="1">
      <alignment wrapText="1"/>
      <protection/>
    </xf>
    <xf numFmtId="0" fontId="88" fillId="33" borderId="0" xfId="0" applyFont="1" applyFill="1" applyAlignment="1" applyProtection="1">
      <alignment wrapText="1"/>
      <protection/>
    </xf>
    <xf numFmtId="0" fontId="24" fillId="33" borderId="0" xfId="0" applyFont="1" applyFill="1" applyAlignment="1" applyProtection="1">
      <alignment wrapText="1"/>
      <protection/>
    </xf>
    <xf numFmtId="0" fontId="48" fillId="33" borderId="0" xfId="0" applyFont="1" applyFill="1" applyAlignment="1" applyProtection="1">
      <alignment wrapText="1"/>
      <protection/>
    </xf>
    <xf numFmtId="0" fontId="17" fillId="33" borderId="53" xfId="0" applyFont="1" applyFill="1" applyBorder="1" applyAlignment="1">
      <alignment horizontal="right" vertical="center" wrapText="1"/>
    </xf>
    <xf numFmtId="49" fontId="1" fillId="33" borderId="43" xfId="0" applyNumberFormat="1" applyFont="1" applyFill="1" applyBorder="1" applyAlignment="1">
      <alignment vertical="center" wrapText="1"/>
    </xf>
    <xf numFmtId="1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96" fillId="33" borderId="0" xfId="0" applyFont="1" applyFill="1" applyBorder="1" applyAlignment="1">
      <alignment/>
    </xf>
    <xf numFmtId="0" fontId="48" fillId="33" borderId="0" xfId="0" applyFont="1" applyFill="1" applyBorder="1" applyAlignment="1" applyProtection="1">
      <alignment/>
      <protection/>
    </xf>
    <xf numFmtId="0" fontId="83" fillId="36" borderId="18" xfId="0" applyFont="1" applyFill="1" applyBorder="1" applyAlignment="1" applyProtection="1">
      <alignment horizontal="center" vertical="center" wrapText="1"/>
      <protection locked="0"/>
    </xf>
    <xf numFmtId="0" fontId="101" fillId="36" borderId="54" xfId="0" applyFont="1" applyFill="1" applyBorder="1" applyAlignment="1" applyProtection="1">
      <alignment/>
      <protection locked="0"/>
    </xf>
    <xf numFmtId="0" fontId="100" fillId="36" borderId="54" xfId="0" applyFont="1" applyFill="1" applyBorder="1" applyAlignment="1" applyProtection="1">
      <alignment/>
      <protection locked="0"/>
    </xf>
    <xf numFmtId="0" fontId="100" fillId="36" borderId="54" xfId="0" applyFont="1" applyFill="1" applyBorder="1" applyAlignment="1">
      <alignment/>
    </xf>
    <xf numFmtId="0" fontId="101" fillId="33" borderId="54" xfId="0" applyFont="1" applyFill="1" applyBorder="1" applyAlignment="1" applyProtection="1">
      <alignment/>
      <protection locked="0"/>
    </xf>
    <xf numFmtId="3" fontId="1" fillId="33" borderId="22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56" fillId="34" borderId="0" xfId="0" applyFont="1" applyFill="1" applyBorder="1" applyAlignment="1">
      <alignment vertical="center" wrapText="1"/>
    </xf>
    <xf numFmtId="0" fontId="103" fillId="34" borderId="0" xfId="0" applyFont="1" applyFill="1" applyBorder="1" applyAlignment="1">
      <alignment vertical="center" wrapText="1"/>
    </xf>
    <xf numFmtId="3" fontId="13" fillId="0" borderId="55" xfId="0" applyNumberFormat="1" applyFont="1" applyBorder="1" applyAlignment="1">
      <alignment horizontal="center" vertical="center" wrapText="1"/>
    </xf>
    <xf numFmtId="3" fontId="35" fillId="36" borderId="55" xfId="0" applyNumberFormat="1" applyFont="1" applyFill="1" applyBorder="1" applyAlignment="1" applyProtection="1">
      <alignment horizontal="center" vertical="center" wrapText="1"/>
      <protection locked="0"/>
    </xf>
    <xf numFmtId="4" fontId="35" fillId="0" borderId="55" xfId="0" applyNumberFormat="1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 wrapText="1"/>
    </xf>
    <xf numFmtId="3" fontId="35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02" fillId="33" borderId="0" xfId="0" applyFont="1" applyFill="1" applyAlignment="1">
      <alignment vertical="center" textRotation="90"/>
    </xf>
    <xf numFmtId="3" fontId="13" fillId="0" borderId="38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4" fontId="35" fillId="0" borderId="20" xfId="0" applyNumberFormat="1" applyFont="1" applyFill="1" applyBorder="1" applyAlignment="1">
      <alignment horizontal="center" vertical="center"/>
    </xf>
    <xf numFmtId="4" fontId="13" fillId="33" borderId="18" xfId="0" applyNumberFormat="1" applyFont="1" applyFill="1" applyBorder="1" applyAlignment="1">
      <alignment horizontal="center" vertical="center" wrapText="1"/>
    </xf>
    <xf numFmtId="0" fontId="5" fillId="0" borderId="0" xfId="42" applyAlignment="1" applyProtection="1">
      <alignment horizontal="left" indent="2"/>
      <protection/>
    </xf>
    <xf numFmtId="0" fontId="7" fillId="33" borderId="0" xfId="0" applyFont="1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 horizontal="center" vertical="center"/>
      <protection hidden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56" xfId="0" applyNumberFormat="1" applyFont="1" applyFill="1" applyBorder="1" applyAlignment="1">
      <alignment horizontal="center" vertical="center"/>
    </xf>
    <xf numFmtId="4" fontId="2" fillId="36" borderId="5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6" xfId="0" applyNumberFormat="1" applyFont="1" applyFill="1" applyBorder="1" applyAlignment="1" applyProtection="1">
      <alignment horizontal="center" vertical="center"/>
      <protection hidden="1"/>
    </xf>
    <xf numFmtId="3" fontId="1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 applyProtection="1">
      <alignment horizontal="center" vertical="center"/>
      <protection hidden="1"/>
    </xf>
    <xf numFmtId="0" fontId="100" fillId="33" borderId="0" xfId="0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3" fontId="1" fillId="36" borderId="12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57" xfId="0" applyNumberFormat="1" applyFont="1" applyFill="1" applyBorder="1" applyAlignment="1">
      <alignment horizontal="center" vertical="center"/>
    </xf>
    <xf numFmtId="4" fontId="2" fillId="33" borderId="57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58" xfId="0" applyNumberFormat="1" applyFont="1" applyFill="1" applyBorder="1" applyAlignment="1" applyProtection="1">
      <alignment horizontal="center" vertical="center"/>
      <protection hidden="1"/>
    </xf>
    <xf numFmtId="3" fontId="1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32" xfId="0" applyNumberFormat="1" applyFont="1" applyFill="1" applyBorder="1" applyAlignment="1" applyProtection="1">
      <alignment horizontal="center" vertical="center"/>
      <protection hidden="1"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3" fontId="7" fillId="33" borderId="20" xfId="0" applyNumberFormat="1" applyFont="1" applyFill="1" applyBorder="1" applyAlignment="1">
      <alignment horizontal="center" vertical="center"/>
    </xf>
    <xf numFmtId="169" fontId="7" fillId="33" borderId="20" xfId="0" applyNumberFormat="1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/>
    </xf>
    <xf numFmtId="1" fontId="7" fillId="36" borderId="20" xfId="0" applyNumberFormat="1" applyFont="1" applyFill="1" applyBorder="1" applyAlignment="1" applyProtection="1">
      <alignment horizontal="center" vertical="center"/>
      <protection locked="0"/>
    </xf>
    <xf numFmtId="169" fontId="7" fillId="36" borderId="20" xfId="0" applyNumberFormat="1" applyFont="1" applyFill="1" applyBorder="1" applyAlignment="1" applyProtection="1">
      <alignment horizontal="center" vertical="center"/>
      <protection locked="0"/>
    </xf>
    <xf numFmtId="3" fontId="7" fillId="33" borderId="18" xfId="0" applyNumberFormat="1" applyFont="1" applyFill="1" applyBorder="1" applyAlignment="1">
      <alignment horizontal="center" vertical="center"/>
    </xf>
    <xf numFmtId="169" fontId="7" fillId="33" borderId="18" xfId="0" applyNumberFormat="1" applyFont="1" applyFill="1" applyBorder="1" applyAlignment="1">
      <alignment horizontal="center" vertical="center"/>
    </xf>
    <xf numFmtId="169" fontId="7" fillId="33" borderId="20" xfId="0" applyNumberFormat="1" applyFont="1" applyFill="1" applyBorder="1" applyAlignment="1" applyProtection="1">
      <alignment horizontal="center" vertical="center"/>
      <protection/>
    </xf>
    <xf numFmtId="2" fontId="8" fillId="33" borderId="18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 quotePrefix="1">
      <alignment horizontal="center"/>
    </xf>
    <xf numFmtId="4" fontId="8" fillId="33" borderId="18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 applyProtection="1">
      <alignment horizontal="center" vertical="center"/>
      <protection/>
    </xf>
    <xf numFmtId="2" fontId="8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1" fillId="36" borderId="59" xfId="0" applyFont="1" applyFill="1" applyBorder="1" applyAlignment="1" applyProtection="1">
      <alignment horizontal="left"/>
      <protection locked="0"/>
    </xf>
    <xf numFmtId="0" fontId="12" fillId="33" borderId="19" xfId="0" applyFont="1" applyFill="1" applyBorder="1" applyAlignment="1">
      <alignment horizontal="left"/>
    </xf>
    <xf numFmtId="0" fontId="14" fillId="33" borderId="25" xfId="0" applyFont="1" applyFill="1" applyBorder="1" applyAlignment="1" applyProtection="1">
      <alignment/>
      <protection locked="0"/>
    </xf>
    <xf numFmtId="0" fontId="2" fillId="33" borderId="60" xfId="0" applyFont="1" applyFill="1" applyBorder="1" applyAlignment="1">
      <alignment/>
    </xf>
    <xf numFmtId="0" fontId="2" fillId="33" borderId="61" xfId="0" applyFont="1" applyFill="1" applyBorder="1" applyAlignment="1">
      <alignment/>
    </xf>
    <xf numFmtId="0" fontId="59" fillId="33" borderId="62" xfId="0" applyFont="1" applyFill="1" applyBorder="1" applyAlignment="1" applyProtection="1">
      <alignment horizontal="center" wrapText="1"/>
      <protection/>
    </xf>
    <xf numFmtId="9" fontId="13" fillId="36" borderId="12" xfId="57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62" xfId="0" applyFont="1" applyFill="1" applyBorder="1" applyAlignment="1" applyProtection="1">
      <alignment horizontal="center" wrapText="1"/>
      <protection/>
    </xf>
    <xf numFmtId="0" fontId="107" fillId="36" borderId="0" xfId="0" applyFont="1" applyFill="1" applyAlignment="1" applyProtection="1">
      <alignment/>
      <protection/>
    </xf>
    <xf numFmtId="0" fontId="108" fillId="36" borderId="51" xfId="0" applyFont="1" applyFill="1" applyBorder="1" applyAlignment="1" applyProtection="1">
      <alignment/>
      <protection/>
    </xf>
    <xf numFmtId="0" fontId="108" fillId="36" borderId="48" xfId="0" applyFont="1" applyFill="1" applyBorder="1" applyAlignment="1" applyProtection="1">
      <alignment/>
      <protection/>
    </xf>
    <xf numFmtId="0" fontId="108" fillId="36" borderId="49" xfId="0" applyFont="1" applyFill="1" applyBorder="1" applyAlignment="1" applyProtection="1">
      <alignment/>
      <protection/>
    </xf>
    <xf numFmtId="0" fontId="108" fillId="36" borderId="50" xfId="0" applyFont="1" applyFill="1" applyBorder="1" applyAlignment="1" applyProtection="1">
      <alignment/>
      <protection/>
    </xf>
    <xf numFmtId="0" fontId="108" fillId="36" borderId="51" xfId="0" applyFont="1" applyFill="1" applyBorder="1" applyAlignment="1" applyProtection="1">
      <alignment vertical="center"/>
      <protection/>
    </xf>
    <xf numFmtId="0" fontId="108" fillId="33" borderId="0" xfId="0" applyFont="1" applyFill="1" applyAlignment="1" applyProtection="1">
      <alignment/>
      <protection/>
    </xf>
    <xf numFmtId="0" fontId="108" fillId="0" borderId="0" xfId="0" applyFont="1" applyAlignment="1" applyProtection="1">
      <alignment/>
      <protection/>
    </xf>
    <xf numFmtId="0" fontId="5" fillId="33" borderId="0" xfId="42" applyFill="1" applyAlignment="1" applyProtection="1">
      <alignment/>
      <protection hidden="1"/>
    </xf>
    <xf numFmtId="0" fontId="59" fillId="36" borderId="63" xfId="0" applyFont="1" applyFill="1" applyBorder="1" applyAlignment="1" applyProtection="1">
      <alignment vertical="top"/>
      <protection/>
    </xf>
    <xf numFmtId="0" fontId="59" fillId="36" borderId="64" xfId="0" applyFont="1" applyFill="1" applyBorder="1" applyAlignment="1" applyProtection="1">
      <alignment vertical="top"/>
      <protection/>
    </xf>
    <xf numFmtId="0" fontId="59" fillId="36" borderId="65" xfId="0" applyFont="1" applyFill="1" applyBorder="1" applyAlignment="1" applyProtection="1">
      <alignment/>
      <protection/>
    </xf>
    <xf numFmtId="0" fontId="59" fillId="36" borderId="66" xfId="0" applyFont="1" applyFill="1" applyBorder="1" applyAlignment="1" applyProtection="1">
      <alignment/>
      <protection/>
    </xf>
    <xf numFmtId="0" fontId="59" fillId="36" borderId="63" xfId="0" applyFont="1" applyFill="1" applyBorder="1" applyAlignment="1" applyProtection="1">
      <alignment/>
      <protection/>
    </xf>
    <xf numFmtId="0" fontId="85" fillId="36" borderId="0" xfId="0" applyFont="1" applyFill="1" applyBorder="1" applyAlignment="1" applyProtection="1">
      <alignment horizontal="right" vertical="top"/>
      <protection/>
    </xf>
    <xf numFmtId="0" fontId="88" fillId="33" borderId="0" xfId="0" applyFont="1" applyFill="1" applyBorder="1" applyAlignment="1" applyProtection="1">
      <alignment/>
      <protection/>
    </xf>
    <xf numFmtId="0" fontId="88" fillId="0" borderId="0" xfId="0" applyFont="1" applyBorder="1" applyAlignment="1" applyProtection="1">
      <alignment/>
      <protection/>
    </xf>
    <xf numFmtId="0" fontId="109" fillId="0" borderId="0" xfId="0" applyFont="1" applyAlignment="1">
      <alignment horizontal="left" indent="2"/>
    </xf>
    <xf numFmtId="0" fontId="8" fillId="33" borderId="0" xfId="0" applyFont="1" applyFill="1" applyAlignment="1" applyProtection="1">
      <alignment/>
      <protection hidden="1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0" fillId="0" borderId="0" xfId="0" applyFont="1" applyAlignment="1">
      <alignment horizontal="left" indent="2"/>
    </xf>
    <xf numFmtId="0" fontId="85" fillId="36" borderId="0" xfId="0" applyFont="1" applyFill="1" applyBorder="1" applyAlignment="1" applyProtection="1">
      <alignment horizontal="left" vertical="center" wrapText="1"/>
      <protection/>
    </xf>
    <xf numFmtId="0" fontId="59" fillId="36" borderId="51" xfId="0" applyFont="1" applyFill="1" applyBorder="1" applyAlignment="1" applyProtection="1">
      <alignment horizontal="left" vertical="center" wrapText="1"/>
      <protection/>
    </xf>
    <xf numFmtId="0" fontId="88" fillId="33" borderId="0" xfId="0" applyFont="1" applyFill="1" applyBorder="1" applyAlignment="1" applyProtection="1">
      <alignment horizontal="left" vertical="center" wrapText="1"/>
      <protection/>
    </xf>
    <xf numFmtId="0" fontId="88" fillId="0" borderId="0" xfId="0" applyFont="1" applyBorder="1" applyAlignment="1" applyProtection="1">
      <alignment horizontal="left" vertical="center" wrapText="1"/>
      <protection/>
    </xf>
    <xf numFmtId="0" fontId="16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 applyProtection="1">
      <alignment horizontal="left" vertical="top" wrapText="1"/>
      <protection/>
    </xf>
    <xf numFmtId="0" fontId="5" fillId="34" borderId="0" xfId="42" applyFill="1" applyAlignment="1" applyProtection="1">
      <alignment/>
      <protection/>
    </xf>
    <xf numFmtId="0" fontId="1" fillId="33" borderId="28" xfId="0" applyFont="1" applyFill="1" applyBorder="1" applyAlignment="1">
      <alignment vertical="center"/>
    </xf>
    <xf numFmtId="0" fontId="1" fillId="33" borderId="28" xfId="0" applyFont="1" applyFill="1" applyBorder="1" applyAlignment="1">
      <alignment horizontal="left" vertical="center"/>
    </xf>
    <xf numFmtId="0" fontId="7" fillId="36" borderId="42" xfId="0" applyFont="1" applyFill="1" applyBorder="1" applyAlignment="1" applyProtection="1">
      <alignment horizontal="left" vertical="center"/>
      <protection locked="0"/>
    </xf>
    <xf numFmtId="0" fontId="2" fillId="33" borderId="32" xfId="0" applyFont="1" applyFill="1" applyBorder="1" applyAlignment="1">
      <alignment/>
    </xf>
    <xf numFmtId="0" fontId="17" fillId="36" borderId="0" xfId="0" applyFont="1" applyFill="1" applyBorder="1" applyAlignment="1" applyProtection="1">
      <alignment horizontal="left" vertical="center" wrapText="1"/>
      <protection locked="0"/>
    </xf>
    <xf numFmtId="4" fontId="35" fillId="0" borderId="12" xfId="0" applyNumberFormat="1" applyFont="1" applyFill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center" vertical="center"/>
    </xf>
    <xf numFmtId="10" fontId="53" fillId="33" borderId="0" xfId="0" applyNumberFormat="1" applyFont="1" applyFill="1" applyAlignment="1" applyProtection="1">
      <alignment/>
      <protection/>
    </xf>
    <xf numFmtId="0" fontId="4" fillId="33" borderId="67" xfId="0" applyFont="1" applyFill="1" applyBorder="1" applyAlignment="1">
      <alignment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2" fillId="33" borderId="6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2" fillId="36" borderId="70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left" vertical="center" wrapText="1"/>
      <protection locked="0"/>
    </xf>
    <xf numFmtId="0" fontId="2" fillId="36" borderId="70" xfId="0" applyFont="1" applyFill="1" applyBorder="1" applyAlignment="1" applyProtection="1">
      <alignment horizontal="left" vertical="center" wrapText="1"/>
      <protection locked="0"/>
    </xf>
    <xf numFmtId="0" fontId="0" fillId="36" borderId="12" xfId="0" applyFill="1" applyBorder="1" applyAlignment="1" applyProtection="1">
      <alignment horizontal="left" vertical="center"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4" fontId="8" fillId="33" borderId="46" xfId="0" applyNumberFormat="1" applyFont="1" applyFill="1" applyBorder="1" applyAlignment="1">
      <alignment horizontal="center" vertical="center"/>
    </xf>
    <xf numFmtId="3" fontId="111" fillId="36" borderId="12" xfId="0" applyNumberFormat="1" applyFont="1" applyFill="1" applyBorder="1" applyAlignment="1">
      <alignment horizontal="center" vertical="center" wrapText="1"/>
    </xf>
    <xf numFmtId="4" fontId="111" fillId="36" borderId="12" xfId="0" applyNumberFormat="1" applyFont="1" applyFill="1" applyBorder="1" applyAlignment="1" applyProtection="1">
      <alignment horizontal="center" vertical="center" wrapText="1"/>
      <protection hidden="1"/>
    </xf>
    <xf numFmtId="175" fontId="1" fillId="36" borderId="12" xfId="0" applyNumberFormat="1" applyFont="1" applyFill="1" applyBorder="1" applyAlignment="1" applyProtection="1">
      <alignment horizontal="center" vertical="center" wrapText="1"/>
      <protection locked="0"/>
    </xf>
    <xf numFmtId="3" fontId="3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33" borderId="62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right" wrapText="1" indent="2"/>
    </xf>
    <xf numFmtId="0" fontId="2" fillId="33" borderId="0" xfId="0" applyFont="1" applyFill="1" applyAlignment="1">
      <alignment horizontal="justify" vertical="top" wrapText="1"/>
    </xf>
    <xf numFmtId="0" fontId="104" fillId="33" borderId="0" xfId="0" applyFont="1" applyFill="1" applyAlignment="1">
      <alignment horizontal="center" vertical="center" textRotation="90"/>
    </xf>
    <xf numFmtId="0" fontId="1" fillId="33" borderId="0" xfId="0" applyFont="1" applyFill="1" applyAlignment="1" applyProtection="1">
      <alignment horizontal="left" vertical="top" wrapText="1"/>
      <protection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justify"/>
    </xf>
    <xf numFmtId="0" fontId="2" fillId="0" borderId="0" xfId="0" applyFont="1" applyAlignment="1">
      <alignment horizontal="justify"/>
    </xf>
    <xf numFmtId="4" fontId="35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7" fillId="33" borderId="69" xfId="0" applyFont="1" applyFill="1" applyBorder="1" applyAlignment="1">
      <alignment/>
    </xf>
    <xf numFmtId="0" fontId="2" fillId="33" borderId="7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3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115" fillId="33" borderId="0" xfId="0" applyFont="1" applyFill="1" applyAlignment="1">
      <alignment/>
    </xf>
    <xf numFmtId="0" fontId="2" fillId="33" borderId="0" xfId="0" applyFont="1" applyFill="1" applyAlignment="1">
      <alignment horizontal="right" wrapText="1" indent="2"/>
    </xf>
    <xf numFmtId="169" fontId="0" fillId="33" borderId="0" xfId="0" applyNumberFormat="1" applyFill="1" applyAlignment="1">
      <alignment/>
    </xf>
    <xf numFmtId="3" fontId="35" fillId="0" borderId="38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 vertical="center" wrapText="1" indent="1"/>
    </xf>
    <xf numFmtId="0" fontId="66" fillId="33" borderId="0" xfId="0" applyFont="1" applyFill="1" applyAlignment="1">
      <alignment horizontal="center" vertical="center" textRotation="90"/>
    </xf>
    <xf numFmtId="4" fontId="35" fillId="33" borderId="0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center" wrapText="1"/>
    </xf>
    <xf numFmtId="2" fontId="116" fillId="33" borderId="0" xfId="0" applyNumberFormat="1" applyFont="1" applyFill="1" applyBorder="1" applyAlignment="1" applyProtection="1">
      <alignment horizontal="center"/>
      <protection locked="0"/>
    </xf>
    <xf numFmtId="0" fontId="101" fillId="33" borderId="58" xfId="0" applyFont="1" applyFill="1" applyBorder="1" applyAlignment="1" applyProtection="1">
      <alignment/>
      <protection/>
    </xf>
    <xf numFmtId="0" fontId="48" fillId="36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14" fillId="33" borderId="0" xfId="0" applyFont="1" applyFill="1" applyAlignment="1">
      <alignment/>
    </xf>
    <xf numFmtId="4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Alignment="1" applyProtection="1">
      <alignment horizontal="center"/>
      <protection/>
    </xf>
    <xf numFmtId="49" fontId="53" fillId="33" borderId="0" xfId="0" applyNumberFormat="1" applyFont="1" applyFill="1" applyAlignment="1" applyProtection="1">
      <alignment/>
      <protection/>
    </xf>
    <xf numFmtId="0" fontId="53" fillId="33" borderId="0" xfId="0" applyNumberFormat="1" applyFont="1" applyFill="1" applyAlignment="1" applyProtection="1">
      <alignment horizontal="center"/>
      <protection/>
    </xf>
    <xf numFmtId="0" fontId="117" fillId="33" borderId="0" xfId="42" applyFont="1" applyFill="1" applyAlignment="1" applyProtection="1">
      <alignment/>
      <protection/>
    </xf>
    <xf numFmtId="0" fontId="53" fillId="33" borderId="0" xfId="0" applyFont="1" applyFill="1" applyAlignment="1">
      <alignment/>
    </xf>
    <xf numFmtId="49" fontId="118" fillId="33" borderId="0" xfId="0" applyNumberFormat="1" applyFont="1" applyFill="1" applyAlignment="1">
      <alignment/>
    </xf>
    <xf numFmtId="0" fontId="52" fillId="33" borderId="0" xfId="0" applyFont="1" applyFill="1" applyAlignment="1" applyProtection="1">
      <alignment horizontal="left"/>
      <protection/>
    </xf>
    <xf numFmtId="2" fontId="53" fillId="33" borderId="0" xfId="0" applyNumberFormat="1" applyFont="1" applyFill="1" applyAlignment="1" applyProtection="1">
      <alignment/>
      <protection/>
    </xf>
    <xf numFmtId="0" fontId="52" fillId="33" borderId="0" xfId="0" applyFont="1" applyFill="1" applyAlignment="1" applyProtection="1">
      <alignment wrapText="1"/>
      <protection/>
    </xf>
    <xf numFmtId="0" fontId="1" fillId="33" borderId="72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left" vertical="center" wrapText="1"/>
    </xf>
    <xf numFmtId="4" fontId="13" fillId="33" borderId="18" xfId="0" applyNumberFormat="1" applyFont="1" applyFill="1" applyBorder="1" applyAlignment="1">
      <alignment horizontal="center" vertical="top" wrapText="1"/>
    </xf>
    <xf numFmtId="4" fontId="13" fillId="33" borderId="18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4" fontId="1" fillId="33" borderId="18" xfId="0" applyNumberFormat="1" applyFont="1" applyFill="1" applyBorder="1" applyAlignment="1">
      <alignment horizontal="center" vertical="top" wrapText="1"/>
    </xf>
    <xf numFmtId="0" fontId="48" fillId="33" borderId="0" xfId="0" applyFont="1" applyFill="1" applyAlignment="1">
      <alignment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top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5" fillId="33" borderId="0" xfId="42" applyFill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wrapText="1"/>
    </xf>
    <xf numFmtId="0" fontId="16" fillId="0" borderId="70" xfId="0" applyFont="1" applyBorder="1" applyAlignment="1" applyProtection="1">
      <alignment vertical="center" wrapText="1"/>
      <protection locked="0"/>
    </xf>
    <xf numFmtId="0" fontId="16" fillId="0" borderId="42" xfId="0" applyFont="1" applyBorder="1" applyAlignment="1" applyProtection="1">
      <alignment vertical="center" wrapText="1"/>
      <protection locked="0"/>
    </xf>
    <xf numFmtId="0" fontId="16" fillId="0" borderId="73" xfId="0" applyFont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>
      <alignment horizontal="left" vertical="center" wrapText="1" indent="1"/>
    </xf>
    <xf numFmtId="49" fontId="5" fillId="36" borderId="12" xfId="42" applyNumberFormat="1" applyFont="1" applyFill="1" applyBorder="1" applyAlignment="1" applyProtection="1">
      <alignment/>
      <protection locked="0"/>
    </xf>
    <xf numFmtId="49" fontId="17" fillId="0" borderId="0" xfId="0" applyNumberFormat="1" applyFont="1" applyFill="1" applyAlignment="1" applyProtection="1">
      <alignment/>
      <protection locked="0"/>
    </xf>
    <xf numFmtId="4" fontId="35" fillId="0" borderId="12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20" fillId="33" borderId="14" xfId="0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17" fillId="33" borderId="29" xfId="0" applyFont="1" applyFill="1" applyBorder="1" applyAlignment="1">
      <alignment horizontal="left" vertical="center" wrapText="1"/>
    </xf>
    <xf numFmtId="0" fontId="16" fillId="37" borderId="21" xfId="0" applyFont="1" applyFill="1" applyBorder="1" applyAlignment="1" applyProtection="1">
      <alignment horizontal="left" vertical="center" wrapText="1" indent="1"/>
      <protection locked="0"/>
    </xf>
    <xf numFmtId="0" fontId="16" fillId="37" borderId="25" xfId="0" applyFont="1" applyFill="1" applyBorder="1" applyAlignment="1" applyProtection="1">
      <alignment horizontal="left" vertical="center" wrapText="1" indent="1"/>
      <protection locked="0"/>
    </xf>
    <xf numFmtId="0" fontId="16" fillId="37" borderId="22" xfId="0" applyFont="1" applyFill="1" applyBorder="1" applyAlignment="1" applyProtection="1">
      <alignment horizontal="left" vertical="center" wrapText="1" indent="1"/>
      <protection locked="0"/>
    </xf>
    <xf numFmtId="0" fontId="2" fillId="33" borderId="0" xfId="0" applyFont="1" applyFill="1" applyAlignment="1" applyProtection="1">
      <alignment horizontal="left" vertical="top" wrapText="1"/>
      <protection/>
    </xf>
    <xf numFmtId="0" fontId="2" fillId="37" borderId="0" xfId="0" applyFont="1" applyFill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0" fontId="4" fillId="33" borderId="67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 vertical="center" wrapText="1" indent="1"/>
    </xf>
    <xf numFmtId="0" fontId="14" fillId="33" borderId="0" xfId="0" applyFont="1" applyFill="1" applyAlignment="1" applyProtection="1">
      <alignment horizontal="left" wrapText="1"/>
      <protection/>
    </xf>
    <xf numFmtId="0" fontId="14" fillId="33" borderId="21" xfId="0" applyFont="1" applyFill="1" applyBorder="1" applyAlignment="1">
      <alignment horizontal="left" vertical="center" wrapText="1" indent="1"/>
    </xf>
    <xf numFmtId="0" fontId="14" fillId="33" borderId="25" xfId="0" applyFont="1" applyFill="1" applyBorder="1" applyAlignment="1">
      <alignment horizontal="left" vertical="center" wrapText="1" inden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left" vertical="center" wrapText="1"/>
    </xf>
    <xf numFmtId="0" fontId="16" fillId="33" borderId="22" xfId="0" applyFont="1" applyFill="1" applyBorder="1" applyAlignment="1">
      <alignment horizontal="left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>
      <alignment horizontal="left" vertical="center" wrapText="1"/>
    </xf>
    <xf numFmtId="0" fontId="55" fillId="34" borderId="0" xfId="0" applyFont="1" applyFill="1" applyBorder="1" applyAlignment="1" applyProtection="1">
      <alignment horizontal="left"/>
      <protection/>
    </xf>
    <xf numFmtId="0" fontId="77" fillId="33" borderId="25" xfId="0" applyFont="1" applyFill="1" applyBorder="1" applyAlignment="1">
      <alignment horizontal="left" vertical="center" indent="1"/>
    </xf>
    <xf numFmtId="0" fontId="17" fillId="34" borderId="0" xfId="0" applyFont="1" applyFill="1" applyBorder="1" applyAlignment="1" applyProtection="1">
      <alignment horizontal="left" vertical="center" wrapText="1"/>
      <protection locked="0"/>
    </xf>
    <xf numFmtId="49" fontId="81" fillId="34" borderId="0" xfId="42" applyNumberFormat="1" applyFont="1" applyFill="1" applyAlignment="1" applyProtection="1">
      <alignment/>
      <protection/>
    </xf>
    <xf numFmtId="0" fontId="82" fillId="34" borderId="0" xfId="0" applyNumberFormat="1" applyFont="1" applyFill="1" applyAlignment="1" applyProtection="1">
      <alignment/>
      <protection/>
    </xf>
    <xf numFmtId="0" fontId="10" fillId="33" borderId="74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center"/>
    </xf>
    <xf numFmtId="0" fontId="83" fillId="38" borderId="25" xfId="0" applyFont="1" applyFill="1" applyBorder="1" applyAlignment="1">
      <alignment horizontal="center" vertical="center" wrapText="1"/>
    </xf>
    <xf numFmtId="0" fontId="83" fillId="38" borderId="22" xfId="0" applyFont="1" applyFill="1" applyBorder="1" applyAlignment="1">
      <alignment horizontal="center" vertical="center" wrapText="1"/>
    </xf>
    <xf numFmtId="0" fontId="83" fillId="38" borderId="21" xfId="0" applyFont="1" applyFill="1" applyBorder="1" applyAlignment="1">
      <alignment horizontal="center" vertical="center" wrapText="1"/>
    </xf>
    <xf numFmtId="0" fontId="53" fillId="33" borderId="0" xfId="0" applyFont="1" applyFill="1" applyAlignment="1" applyProtection="1">
      <alignment horizontal="center"/>
      <protection/>
    </xf>
    <xf numFmtId="0" fontId="2" fillId="33" borderId="6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wrapText="1"/>
      <protection/>
    </xf>
    <xf numFmtId="44" fontId="2" fillId="33" borderId="62" xfId="0" applyNumberFormat="1" applyFont="1" applyFill="1" applyBorder="1" applyAlignment="1" applyProtection="1">
      <alignment horizontal="left" vertical="center" wrapText="1"/>
      <protection/>
    </xf>
    <xf numFmtId="44" fontId="2" fillId="33" borderId="0" xfId="0" applyNumberFormat="1" applyFont="1" applyFill="1" applyAlignment="1" applyProtection="1">
      <alignment horizontal="left" vertical="center" wrapText="1"/>
      <protection/>
    </xf>
    <xf numFmtId="0" fontId="59" fillId="36" borderId="48" xfId="0" applyFont="1" applyFill="1" applyBorder="1" applyAlignment="1" applyProtection="1">
      <alignment horizontal="left" vertical="top" wrapText="1"/>
      <protection/>
    </xf>
    <xf numFmtId="0" fontId="59" fillId="36" borderId="49" xfId="0" applyFont="1" applyFill="1" applyBorder="1" applyAlignment="1" applyProtection="1">
      <alignment horizontal="left" vertical="top" wrapText="1"/>
      <protection/>
    </xf>
    <xf numFmtId="0" fontId="59" fillId="36" borderId="50" xfId="0" applyFont="1" applyFill="1" applyBorder="1" applyAlignment="1" applyProtection="1">
      <alignment horizontal="left" vertical="top" wrapText="1"/>
      <protection/>
    </xf>
    <xf numFmtId="44" fontId="2" fillId="33" borderId="62" xfId="0" applyNumberFormat="1" applyFont="1" applyFill="1" applyBorder="1" applyAlignment="1" applyProtection="1">
      <alignment vertical="center" wrapText="1"/>
      <protection/>
    </xf>
    <xf numFmtId="44" fontId="2" fillId="33" borderId="0" xfId="0" applyNumberFormat="1" applyFont="1" applyFill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62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59" fillId="36" borderId="48" xfId="0" applyFont="1" applyFill="1" applyBorder="1" applyAlignment="1" applyProtection="1">
      <alignment horizontal="left" vertical="center" wrapText="1"/>
      <protection/>
    </xf>
    <xf numFmtId="0" fontId="59" fillId="36" borderId="49" xfId="0" applyFont="1" applyFill="1" applyBorder="1" applyAlignment="1" applyProtection="1">
      <alignment horizontal="left" vertical="center" wrapText="1"/>
      <protection/>
    </xf>
    <xf numFmtId="0" fontId="59" fillId="36" borderId="50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86" fillId="36" borderId="48" xfId="0" applyFont="1" applyFill="1" applyBorder="1" applyAlignment="1" applyProtection="1">
      <alignment horizontal="center" vertical="top"/>
      <protection/>
    </xf>
    <xf numFmtId="0" fontId="86" fillId="36" borderId="49" xfId="0" applyFont="1" applyFill="1" applyBorder="1" applyAlignment="1" applyProtection="1">
      <alignment horizontal="center" vertical="top"/>
      <protection/>
    </xf>
    <xf numFmtId="0" fontId="86" fillId="36" borderId="50" xfId="0" applyFont="1" applyFill="1" applyBorder="1" applyAlignment="1" applyProtection="1">
      <alignment horizontal="center" vertical="top"/>
      <protection/>
    </xf>
    <xf numFmtId="0" fontId="59" fillId="33" borderId="62" xfId="0" applyFont="1" applyFill="1" applyBorder="1" applyAlignment="1" applyProtection="1">
      <alignment horizontal="center" wrapText="1"/>
      <protection/>
    </xf>
    <xf numFmtId="0" fontId="59" fillId="33" borderId="0" xfId="0" applyFont="1" applyFill="1" applyAlignment="1" applyProtection="1">
      <alignment horizontal="center" wrapText="1"/>
      <protection/>
    </xf>
    <xf numFmtId="4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75" fillId="36" borderId="0" xfId="0" applyFont="1" applyFill="1" applyAlignment="1" applyProtection="1">
      <alignment horizontal="center"/>
      <protection/>
    </xf>
    <xf numFmtId="0" fontId="75" fillId="36" borderId="0" xfId="0" applyFont="1" applyFill="1" applyAlignment="1" applyProtection="1">
      <alignment horizontal="center" wrapText="1"/>
      <protection/>
    </xf>
    <xf numFmtId="0" fontId="7" fillId="36" borderId="0" xfId="0" applyFont="1" applyFill="1" applyBorder="1" applyAlignment="1" applyProtection="1">
      <alignment horizontal="center" wrapText="1"/>
      <protection locked="0"/>
    </xf>
    <xf numFmtId="0" fontId="7" fillId="36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left" vertical="center" wrapText="1"/>
      <protection locked="0"/>
    </xf>
    <xf numFmtId="0" fontId="7" fillId="36" borderId="42" xfId="0" applyFont="1" applyFill="1" applyBorder="1" applyAlignment="1" applyProtection="1">
      <alignment horizontal="left" wrapText="1" shrinkToFit="1"/>
      <protection locked="0"/>
    </xf>
    <xf numFmtId="0" fontId="7" fillId="36" borderId="43" xfId="0" applyFont="1" applyFill="1" applyBorder="1" applyAlignment="1" applyProtection="1">
      <alignment horizontal="left" wrapText="1"/>
      <protection locked="0"/>
    </xf>
    <xf numFmtId="0" fontId="8" fillId="33" borderId="40" xfId="0" applyFont="1" applyFill="1" applyBorder="1" applyAlignment="1" applyProtection="1">
      <alignment horizontal="center" vertical="center" wrapText="1"/>
      <protection/>
    </xf>
    <xf numFmtId="0" fontId="7" fillId="36" borderId="43" xfId="0" applyFont="1" applyFill="1" applyBorder="1" applyAlignment="1" applyProtection="1">
      <alignment horizontal="center"/>
      <protection locked="0"/>
    </xf>
    <xf numFmtId="0" fontId="7" fillId="36" borderId="42" xfId="0" applyFont="1" applyFill="1" applyBorder="1" applyAlignment="1" applyProtection="1">
      <alignment horizontal="left" vertical="center"/>
      <protection locked="0"/>
    </xf>
    <xf numFmtId="0" fontId="7" fillId="36" borderId="42" xfId="0" applyFont="1" applyFill="1" applyBorder="1" applyAlignment="1" applyProtection="1">
      <alignment horizontal="left"/>
      <protection locked="0"/>
    </xf>
    <xf numFmtId="49" fontId="7" fillId="36" borderId="42" xfId="0" applyNumberFormat="1" applyFont="1" applyFill="1" applyBorder="1" applyAlignment="1" applyProtection="1">
      <alignment horizontal="left" wrapText="1"/>
      <protection locked="0"/>
    </xf>
    <xf numFmtId="0" fontId="73" fillId="36" borderId="69" xfId="0" applyFont="1" applyFill="1" applyBorder="1" applyAlignment="1" applyProtection="1">
      <alignment horizontal="center" wrapText="1"/>
      <protection hidden="1"/>
    </xf>
    <xf numFmtId="0" fontId="7" fillId="36" borderId="16" xfId="0" applyFont="1" applyFill="1" applyBorder="1" applyAlignment="1" applyProtection="1">
      <alignment horizontal="center"/>
      <protection hidden="1"/>
    </xf>
    <xf numFmtId="0" fontId="7" fillId="36" borderId="71" xfId="0" applyFont="1" applyFill="1" applyBorder="1" applyAlignment="1" applyProtection="1">
      <alignment horizontal="center"/>
      <protection hidden="1"/>
    </xf>
    <xf numFmtId="0" fontId="7" fillId="36" borderId="13" xfId="0" applyFont="1" applyFill="1" applyBorder="1" applyAlignment="1" applyProtection="1">
      <alignment horizontal="center"/>
      <protection hidden="1"/>
    </xf>
    <xf numFmtId="0" fontId="7" fillId="36" borderId="0" xfId="0" applyFont="1" applyFill="1" applyBorder="1" applyAlignment="1" applyProtection="1">
      <alignment horizontal="center"/>
      <protection hidden="1"/>
    </xf>
    <xf numFmtId="0" fontId="7" fillId="36" borderId="14" xfId="0" applyFont="1" applyFill="1" applyBorder="1" applyAlignment="1" applyProtection="1">
      <alignment horizontal="center"/>
      <protection hidden="1"/>
    </xf>
    <xf numFmtId="0" fontId="7" fillId="36" borderId="75" xfId="0" applyFont="1" applyFill="1" applyBorder="1" applyAlignment="1" applyProtection="1">
      <alignment horizontal="center"/>
      <protection hidden="1"/>
    </xf>
    <xf numFmtId="0" fontId="7" fillId="36" borderId="43" xfId="0" applyFont="1" applyFill="1" applyBorder="1" applyAlignment="1" applyProtection="1">
      <alignment horizontal="center"/>
      <protection hidden="1"/>
    </xf>
    <xf numFmtId="0" fontId="7" fillId="36" borderId="76" xfId="0" applyFont="1" applyFill="1" applyBorder="1" applyAlignment="1" applyProtection="1">
      <alignment horizontal="center"/>
      <protection hidden="1"/>
    </xf>
    <xf numFmtId="0" fontId="10" fillId="33" borderId="77" xfId="0" applyFont="1" applyFill="1" applyBorder="1" applyAlignment="1" applyProtection="1">
      <alignment horizontal="center" vertical="center" wrapText="1"/>
      <protection/>
    </xf>
    <xf numFmtId="49" fontId="7" fillId="36" borderId="43" xfId="0" applyNumberFormat="1" applyFont="1" applyFill="1" applyBorder="1" applyAlignment="1" applyProtection="1">
      <alignment horizontal="left"/>
      <protection locked="0"/>
    </xf>
    <xf numFmtId="0" fontId="7" fillId="36" borderId="43" xfId="0" applyFont="1" applyFill="1" applyBorder="1" applyAlignment="1" applyProtection="1">
      <alignment horizontal="left" vertical="center" wrapText="1"/>
      <protection locked="0"/>
    </xf>
    <xf numFmtId="0" fontId="14" fillId="33" borderId="22" xfId="0" applyFont="1" applyFill="1" applyBorder="1" applyAlignment="1">
      <alignment horizontal="left" vertical="center" wrapText="1" indent="1"/>
    </xf>
    <xf numFmtId="0" fontId="14" fillId="33" borderId="18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wrapText="1" indent="1"/>
    </xf>
    <xf numFmtId="0" fontId="72" fillId="33" borderId="19" xfId="0" applyFont="1" applyFill="1" applyBorder="1" applyAlignment="1">
      <alignment horizontal="left" indent="1"/>
    </xf>
    <xf numFmtId="0" fontId="1" fillId="34" borderId="25" xfId="0" applyFont="1" applyFill="1" applyBorder="1" applyAlignment="1">
      <alignment horizontal="left" vertical="center" wrapText="1" indent="1"/>
    </xf>
    <xf numFmtId="0" fontId="1" fillId="34" borderId="78" xfId="0" applyFont="1" applyFill="1" applyBorder="1" applyAlignment="1">
      <alignment horizontal="left" vertical="center" wrapText="1" indent="1"/>
    </xf>
    <xf numFmtId="0" fontId="1" fillId="34" borderId="79" xfId="0" applyFont="1" applyFill="1" applyBorder="1" applyAlignment="1">
      <alignment horizontal="left" vertical="center" wrapText="1" indent="1"/>
    </xf>
    <xf numFmtId="0" fontId="1" fillId="34" borderId="41" xfId="0" applyFont="1" applyFill="1" applyBorder="1" applyAlignment="1">
      <alignment horizontal="left" vertical="center" wrapText="1" indent="1"/>
    </xf>
    <xf numFmtId="0" fontId="1" fillId="34" borderId="36" xfId="0" applyFont="1" applyFill="1" applyBorder="1" applyAlignment="1">
      <alignment horizontal="left" vertical="center" wrapText="1" indent="1"/>
    </xf>
    <xf numFmtId="0" fontId="1" fillId="34" borderId="17" xfId="0" applyFont="1" applyFill="1" applyBorder="1" applyAlignment="1">
      <alignment horizontal="left" vertical="center" wrapText="1" indent="1"/>
    </xf>
    <xf numFmtId="0" fontId="1" fillId="33" borderId="80" xfId="0" applyFont="1" applyFill="1" applyBorder="1" applyAlignment="1">
      <alignment horizontal="left" vertical="center" wrapText="1" indent="1"/>
    </xf>
    <xf numFmtId="0" fontId="2" fillId="33" borderId="57" xfId="0" applyFont="1" applyFill="1" applyBorder="1" applyAlignment="1">
      <alignment horizontal="left" vertical="center" wrapText="1" indent="1"/>
    </xf>
    <xf numFmtId="0" fontId="1" fillId="33" borderId="70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73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center" wrapText="1" indent="1"/>
    </xf>
    <xf numFmtId="0" fontId="2" fillId="33" borderId="0" xfId="0" applyFont="1" applyFill="1" applyAlignment="1" applyProtection="1">
      <alignment vertical="top" wrapText="1"/>
      <protection/>
    </xf>
    <xf numFmtId="0" fontId="2" fillId="33" borderId="0" xfId="0" applyFont="1" applyFill="1" applyBorder="1" applyAlignment="1">
      <alignment horizontal="left" wrapText="1"/>
    </xf>
    <xf numFmtId="0" fontId="14" fillId="33" borderId="28" xfId="0" applyFont="1" applyFill="1" applyBorder="1" applyAlignment="1">
      <alignment horizontal="left" vertical="center" wrapText="1" indent="1"/>
    </xf>
    <xf numFmtId="0" fontId="14" fillId="33" borderId="29" xfId="0" applyFont="1" applyFill="1" applyBorder="1" applyAlignment="1">
      <alignment horizontal="left" vertical="center" wrapText="1" indent="1"/>
    </xf>
    <xf numFmtId="0" fontId="14" fillId="33" borderId="30" xfId="0" applyFont="1" applyFill="1" applyBorder="1" applyAlignment="1">
      <alignment horizontal="left" vertical="center" wrapText="1" indent="1"/>
    </xf>
    <xf numFmtId="49" fontId="5" fillId="36" borderId="0" xfId="42" applyNumberFormat="1" applyFont="1" applyFill="1" applyAlignment="1" applyProtection="1">
      <alignment/>
      <protection locked="0"/>
    </xf>
    <xf numFmtId="49" fontId="17" fillId="36" borderId="0" xfId="0" applyNumberFormat="1" applyFont="1" applyFill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left" vertical="center" wrapText="1" indent="1"/>
      <protection/>
    </xf>
    <xf numFmtId="0" fontId="1" fillId="34" borderId="0" xfId="0" applyFont="1" applyFill="1" applyBorder="1" applyAlignment="1">
      <alignment horizontal="left" vertical="center" wrapText="1" indent="1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40" xfId="0" applyFont="1" applyFill="1" applyBorder="1" applyAlignment="1" applyProtection="1">
      <alignment horizontal="center" vertical="center" wrapText="1"/>
      <protection/>
    </xf>
    <xf numFmtId="0" fontId="10" fillId="33" borderId="8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 vertical="center" wrapText="1" indent="1"/>
      <protection/>
    </xf>
    <xf numFmtId="0" fontId="1" fillId="33" borderId="21" xfId="0" applyFont="1" applyFill="1" applyBorder="1" applyAlignment="1" applyProtection="1">
      <alignment horizontal="left" vertical="center" wrapText="1"/>
      <protection/>
    </xf>
    <xf numFmtId="0" fontId="1" fillId="33" borderId="25" xfId="0" applyFont="1" applyFill="1" applyBorder="1" applyAlignment="1" applyProtection="1">
      <alignment horizontal="left" vertical="center" wrapText="1"/>
      <protection/>
    </xf>
    <xf numFmtId="0" fontId="16" fillId="33" borderId="19" xfId="0" applyFont="1" applyFill="1" applyBorder="1" applyAlignment="1">
      <alignment horizontal="left" vertical="top" wrapText="1"/>
    </xf>
    <xf numFmtId="0" fontId="55" fillId="36" borderId="0" xfId="0" applyFont="1" applyFill="1" applyBorder="1" applyAlignment="1" applyProtection="1">
      <alignment horizontal="left"/>
      <protection locked="0"/>
    </xf>
    <xf numFmtId="0" fontId="2" fillId="36" borderId="0" xfId="0" applyFont="1" applyFill="1" applyAlignment="1" applyProtection="1">
      <alignment horizontal="center"/>
      <protection locked="0"/>
    </xf>
    <xf numFmtId="0" fontId="1" fillId="0" borderId="56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111" fillId="36" borderId="12" xfId="0" applyFont="1" applyFill="1" applyBorder="1" applyAlignment="1">
      <alignment horizontal="left" vertical="center" wrapText="1" indent="1"/>
    </xf>
    <xf numFmtId="0" fontId="16" fillId="33" borderId="23" xfId="0" applyFont="1" applyFill="1" applyBorder="1" applyAlignment="1">
      <alignment horizontal="left" vertical="center" wrapText="1" indent="2"/>
    </xf>
    <xf numFmtId="0" fontId="16" fillId="33" borderId="19" xfId="0" applyFont="1" applyFill="1" applyBorder="1" applyAlignment="1">
      <alignment horizontal="left" vertical="center" wrapText="1" indent="2"/>
    </xf>
    <xf numFmtId="0" fontId="16" fillId="33" borderId="24" xfId="0" applyFont="1" applyFill="1" applyBorder="1" applyAlignment="1">
      <alignment horizontal="left" vertical="center" wrapText="1" indent="2"/>
    </xf>
    <xf numFmtId="0" fontId="3" fillId="33" borderId="25" xfId="0" applyFont="1" applyFill="1" applyBorder="1" applyAlignment="1">
      <alignment horizontal="left" wrapText="1" indent="1"/>
    </xf>
    <xf numFmtId="0" fontId="20" fillId="33" borderId="43" xfId="0" applyFont="1" applyFill="1" applyBorder="1" applyAlignment="1">
      <alignment horizontal="left" wrapText="1"/>
    </xf>
    <xf numFmtId="0" fontId="20" fillId="33" borderId="76" xfId="0" applyFont="1" applyFill="1" applyBorder="1" applyAlignment="1">
      <alignment horizontal="left" wrapText="1"/>
    </xf>
    <xf numFmtId="0" fontId="16" fillId="33" borderId="20" xfId="0" applyFont="1" applyFill="1" applyBorder="1" applyAlignment="1">
      <alignment horizontal="left" vertical="center" wrapText="1"/>
    </xf>
    <xf numFmtId="0" fontId="7" fillId="33" borderId="0" xfId="0" applyFont="1" applyFill="1" applyAlignment="1" applyProtection="1">
      <alignment horizontal="center"/>
      <protection hidden="1"/>
    </xf>
    <xf numFmtId="0" fontId="69" fillId="33" borderId="16" xfId="0" applyFont="1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14" xfId="0" applyFont="1" applyFill="1" applyBorder="1" applyAlignment="1" applyProtection="1">
      <alignment horizontal="justify" vertical="top" wrapText="1"/>
      <protection/>
    </xf>
    <xf numFmtId="49" fontId="41" fillId="33" borderId="18" xfId="0" applyNumberFormat="1" applyFont="1" applyFill="1" applyBorder="1" applyAlignment="1">
      <alignment horizontal="left"/>
    </xf>
    <xf numFmtId="0" fontId="41" fillId="33" borderId="18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7" fillId="33" borderId="56" xfId="0" applyFont="1" applyFill="1" applyBorder="1" applyAlignment="1">
      <alignment horizontal="left" vertical="center" wrapText="1" indent="2"/>
    </xf>
    <xf numFmtId="0" fontId="73" fillId="41" borderId="0" xfId="0" applyFont="1" applyFill="1" applyBorder="1" applyAlignment="1">
      <alignment horizontal="center" wrapText="1"/>
    </xf>
    <xf numFmtId="0" fontId="90" fillId="41" borderId="0" xfId="0" applyFont="1" applyFill="1" applyBorder="1" applyAlignment="1">
      <alignment horizontal="center" wrapText="1"/>
    </xf>
    <xf numFmtId="2" fontId="8" fillId="33" borderId="18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>
      <alignment horizontal="left"/>
    </xf>
    <xf numFmtId="4" fontId="8" fillId="33" borderId="18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 wrapText="1"/>
    </xf>
    <xf numFmtId="2" fontId="8" fillId="33" borderId="20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/>
    </xf>
    <xf numFmtId="1" fontId="7" fillId="33" borderId="18" xfId="0" applyNumberFormat="1" applyFont="1" applyFill="1" applyBorder="1" applyAlignment="1" applyProtection="1">
      <alignment horizontal="center" vertical="center"/>
      <protection/>
    </xf>
    <xf numFmtId="3" fontId="7" fillId="33" borderId="18" xfId="0" applyNumberFormat="1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right"/>
    </xf>
    <xf numFmtId="0" fontId="1" fillId="33" borderId="56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left" vertical="center" indent="1"/>
    </xf>
    <xf numFmtId="0" fontId="2" fillId="33" borderId="30" xfId="0" applyFont="1" applyFill="1" applyBorder="1" applyAlignment="1">
      <alignment horizontal="left" vertical="center" indent="1"/>
    </xf>
    <xf numFmtId="0" fontId="2" fillId="33" borderId="46" xfId="0" applyFont="1" applyFill="1" applyBorder="1" applyAlignment="1">
      <alignment horizontal="left" vertical="center" indent="1"/>
    </xf>
    <xf numFmtId="0" fontId="2" fillId="36" borderId="19" xfId="0" applyFont="1" applyFill="1" applyBorder="1" applyAlignment="1" applyProtection="1">
      <alignment horizontal="left"/>
      <protection locked="0"/>
    </xf>
    <xf numFmtId="0" fontId="2" fillId="36" borderId="24" xfId="0" applyFont="1" applyFill="1" applyBorder="1" applyAlignment="1" applyProtection="1">
      <alignment horizontal="left"/>
      <protection locked="0"/>
    </xf>
    <xf numFmtId="0" fontId="7" fillId="33" borderId="13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8" fillId="33" borderId="27" xfId="0" applyNumberFormat="1" applyFont="1" applyFill="1" applyBorder="1" applyAlignment="1">
      <alignment horizontal="center" wrapText="1"/>
    </xf>
    <xf numFmtId="0" fontId="8" fillId="33" borderId="25" xfId="0" applyNumberFormat="1" applyFont="1" applyFill="1" applyBorder="1" applyAlignment="1">
      <alignment horizontal="center" wrapText="1"/>
    </xf>
    <xf numFmtId="0" fontId="8" fillId="33" borderId="22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7" fillId="33" borderId="82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45" xfId="0" applyFont="1" applyFill="1" applyBorder="1" applyAlignment="1">
      <alignment horizontal="left" vertical="center" wrapText="1"/>
    </xf>
    <xf numFmtId="0" fontId="14" fillId="34" borderId="35" xfId="0" applyFont="1" applyFill="1" applyBorder="1" applyAlignment="1">
      <alignment horizontal="left" vertical="center" wrapText="1"/>
    </xf>
    <xf numFmtId="0" fontId="14" fillId="34" borderId="83" xfId="0" applyFont="1" applyFill="1" applyBorder="1" applyAlignment="1">
      <alignment horizontal="left" vertical="center" wrapText="1"/>
    </xf>
    <xf numFmtId="0" fontId="14" fillId="34" borderId="36" xfId="0" applyFont="1" applyFill="1" applyBorder="1" applyAlignment="1">
      <alignment horizontal="left" vertical="center" wrapText="1"/>
    </xf>
    <xf numFmtId="0" fontId="41" fillId="33" borderId="82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41" fillId="33" borderId="34" xfId="0" applyFont="1" applyFill="1" applyBorder="1" applyAlignment="1">
      <alignment horizontal="left" vertical="center" wrapText="1"/>
    </xf>
    <xf numFmtId="0" fontId="7" fillId="33" borderId="46" xfId="0" applyFont="1" applyFill="1" applyBorder="1" applyAlignment="1" applyProtection="1">
      <alignment horizontal="left" vertical="center" wrapText="1"/>
      <protection locked="0"/>
    </xf>
    <xf numFmtId="0" fontId="1" fillId="36" borderId="84" xfId="0" applyFont="1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41" fillId="33" borderId="46" xfId="0" applyFont="1" applyFill="1" applyBorder="1" applyAlignment="1">
      <alignment horizontal="left"/>
    </xf>
    <xf numFmtId="0" fontId="13" fillId="36" borderId="12" xfId="0" applyFont="1" applyFill="1" applyBorder="1" applyAlignment="1" applyProtection="1">
      <alignment horizontal="center"/>
      <protection locked="0"/>
    </xf>
    <xf numFmtId="0" fontId="7" fillId="33" borderId="75" xfId="0" applyFont="1" applyFill="1" applyBorder="1" applyAlignment="1" applyProtection="1">
      <alignment horizontal="justify" vertical="top" wrapText="1"/>
      <protection/>
    </xf>
    <xf numFmtId="0" fontId="7" fillId="33" borderId="43" xfId="0" applyFont="1" applyFill="1" applyBorder="1" applyAlignment="1" applyProtection="1">
      <alignment horizontal="justify" vertical="top" wrapText="1"/>
      <protection/>
    </xf>
    <xf numFmtId="0" fontId="7" fillId="33" borderId="76" xfId="0" applyFont="1" applyFill="1" applyBorder="1" applyAlignment="1" applyProtection="1">
      <alignment horizontal="justify" vertical="top" wrapText="1"/>
      <protection/>
    </xf>
    <xf numFmtId="0" fontId="16" fillId="33" borderId="18" xfId="0" applyFont="1" applyFill="1" applyBorder="1" applyAlignment="1">
      <alignment horizontal="left" vertical="center" wrapText="1"/>
    </xf>
    <xf numFmtId="170" fontId="2" fillId="33" borderId="31" xfId="0" applyNumberFormat="1" applyFont="1" applyFill="1" applyBorder="1" applyAlignment="1">
      <alignment horizontal="left" vertical="center" wrapText="1"/>
    </xf>
    <xf numFmtId="170" fontId="2" fillId="33" borderId="0" xfId="0" applyNumberFormat="1" applyFont="1" applyFill="1" applyBorder="1" applyAlignment="1">
      <alignment horizontal="left" vertical="center" wrapText="1"/>
    </xf>
    <xf numFmtId="170" fontId="2" fillId="33" borderId="32" xfId="0" applyNumberFormat="1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justify" vertical="center" wrapText="1"/>
    </xf>
    <xf numFmtId="170" fontId="2" fillId="33" borderId="29" xfId="0" applyNumberFormat="1" applyFont="1" applyFill="1" applyBorder="1" applyAlignment="1">
      <alignment horizontal="left"/>
    </xf>
    <xf numFmtId="170" fontId="2" fillId="33" borderId="30" xfId="0" applyNumberFormat="1" applyFont="1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center"/>
    </xf>
    <xf numFmtId="0" fontId="24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 wrapText="1"/>
    </xf>
    <xf numFmtId="0" fontId="20" fillId="33" borderId="32" xfId="0" applyFont="1" applyFill="1" applyBorder="1" applyAlignment="1">
      <alignment horizontal="left" wrapText="1"/>
    </xf>
    <xf numFmtId="0" fontId="13" fillId="33" borderId="26" xfId="0" applyFont="1" applyFill="1" applyBorder="1" applyAlignment="1">
      <alignment horizontal="left" vertical="top"/>
    </xf>
    <xf numFmtId="0" fontId="13" fillId="33" borderId="85" xfId="0" applyFont="1" applyFill="1" applyBorder="1" applyAlignment="1">
      <alignment horizontal="left" vertical="top"/>
    </xf>
    <xf numFmtId="0" fontId="13" fillId="33" borderId="27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12" fillId="33" borderId="31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6" fillId="33" borderId="31" xfId="0" applyNumberFormat="1" applyFont="1" applyFill="1" applyBorder="1" applyAlignment="1" applyProtection="1">
      <alignment horizontal="left"/>
      <protection/>
    </xf>
    <xf numFmtId="0" fontId="16" fillId="33" borderId="0" xfId="0" applyNumberFormat="1" applyFont="1" applyFill="1" applyBorder="1" applyAlignment="1" applyProtection="1">
      <alignment horizontal="left"/>
      <protection/>
    </xf>
    <xf numFmtId="0" fontId="16" fillId="33" borderId="32" xfId="0" applyNumberFormat="1" applyFont="1" applyFill="1" applyBorder="1" applyAlignment="1" applyProtection="1">
      <alignment horizontal="left"/>
      <protection/>
    </xf>
    <xf numFmtId="0" fontId="2" fillId="33" borderId="25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16" fillId="33" borderId="19" xfId="0" applyNumberFormat="1" applyFont="1" applyFill="1" applyBorder="1" applyAlignment="1">
      <alignment horizontal="left" wrapText="1"/>
    </xf>
    <xf numFmtId="0" fontId="16" fillId="33" borderId="24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31" xfId="0" applyNumberFormat="1" applyFont="1" applyFill="1" applyBorder="1" applyAlignment="1">
      <alignment horizontal="left"/>
    </xf>
    <xf numFmtId="0" fontId="2" fillId="33" borderId="32" xfId="0" applyNumberFormat="1" applyFont="1" applyFill="1" applyBorder="1" applyAlignment="1">
      <alignment horizontal="left"/>
    </xf>
    <xf numFmtId="0" fontId="14" fillId="33" borderId="31" xfId="0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14" fillId="33" borderId="32" xfId="0" applyFont="1" applyFill="1" applyBorder="1" applyAlignment="1" applyProtection="1">
      <alignment horizontal="right"/>
      <protection/>
    </xf>
    <xf numFmtId="0" fontId="2" fillId="33" borderId="29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16" fillId="36" borderId="19" xfId="0" applyFont="1" applyFill="1" applyBorder="1" applyAlignment="1" applyProtection="1">
      <alignment horizontal="center" vertical="center"/>
      <protection locked="0"/>
    </xf>
    <xf numFmtId="0" fontId="16" fillId="36" borderId="24" xfId="0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4" fillId="33" borderId="31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14" fillId="33" borderId="32" xfId="0" applyFont="1" applyFill="1" applyBorder="1" applyAlignment="1">
      <alignment horizontal="right"/>
    </xf>
    <xf numFmtId="0" fontId="73" fillId="36" borderId="69" xfId="0" applyFont="1" applyFill="1" applyBorder="1" applyAlignment="1">
      <alignment horizontal="center" wrapText="1"/>
    </xf>
    <xf numFmtId="0" fontId="2" fillId="36" borderId="16" xfId="0" applyFont="1" applyFill="1" applyBorder="1" applyAlignment="1">
      <alignment horizontal="center"/>
    </xf>
    <xf numFmtId="0" fontId="2" fillId="36" borderId="71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75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2" fillId="36" borderId="76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 vertical="center"/>
    </xf>
    <xf numFmtId="0" fontId="13" fillId="33" borderId="32" xfId="0" applyFont="1" applyFill="1" applyBorder="1" applyAlignment="1">
      <alignment horizontal="left" vertical="center"/>
    </xf>
    <xf numFmtId="0" fontId="11" fillId="36" borderId="21" xfId="0" applyFont="1" applyFill="1" applyBorder="1" applyAlignment="1" applyProtection="1">
      <alignment horizontal="right" vertical="center"/>
      <protection locked="0"/>
    </xf>
    <xf numFmtId="0" fontId="11" fillId="36" borderId="25" xfId="0" applyFont="1" applyFill="1" applyBorder="1" applyAlignment="1" applyProtection="1">
      <alignment horizontal="right" vertical="center"/>
      <protection locked="0"/>
    </xf>
    <xf numFmtId="0" fontId="41" fillId="33" borderId="86" xfId="0" applyFont="1" applyFill="1" applyBorder="1" applyAlignment="1">
      <alignment horizontal="left"/>
    </xf>
    <xf numFmtId="0" fontId="2" fillId="33" borderId="87" xfId="0" applyFont="1" applyFill="1" applyBorder="1" applyAlignment="1">
      <alignment horizontal="left" vertical="center" indent="1"/>
    </xf>
    <xf numFmtId="0" fontId="2" fillId="33" borderId="25" xfId="0" applyFont="1" applyFill="1" applyBorder="1" applyAlignment="1">
      <alignment horizontal="left" vertical="center" indent="1"/>
    </xf>
    <xf numFmtId="0" fontId="14" fillId="0" borderId="18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vertical="top" wrapText="1"/>
    </xf>
    <xf numFmtId="0" fontId="16" fillId="33" borderId="0" xfId="0" applyFont="1" applyFill="1" applyAlignment="1">
      <alignment horizontal="left" vertical="top" wrapText="1"/>
    </xf>
    <xf numFmtId="0" fontId="16" fillId="33" borderId="19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justify" vertical="top" wrapText="1"/>
    </xf>
    <xf numFmtId="0" fontId="16" fillId="33" borderId="19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right" vertical="center" wrapText="1" indent="2"/>
    </xf>
    <xf numFmtId="0" fontId="14" fillId="33" borderId="0" xfId="0" applyFont="1" applyFill="1" applyBorder="1" applyAlignment="1">
      <alignment horizontal="right" vertical="center" wrapText="1" indent="2"/>
    </xf>
    <xf numFmtId="3" fontId="1" fillId="0" borderId="18" xfId="0" applyNumberFormat="1" applyFont="1" applyBorder="1" applyAlignment="1">
      <alignment horizontal="center" vertical="center" wrapText="1"/>
    </xf>
    <xf numFmtId="0" fontId="2" fillId="36" borderId="25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 wrapText="1"/>
    </xf>
    <xf numFmtId="0" fontId="16" fillId="0" borderId="18" xfId="0" applyFont="1" applyBorder="1" applyAlignment="1">
      <alignment horizontal="left" vertical="center" wrapText="1"/>
    </xf>
    <xf numFmtId="0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0" xfId="0" applyFont="1" applyFill="1" applyAlignment="1">
      <alignment horizontal="center" vertical="center" textRotation="90"/>
    </xf>
    <xf numFmtId="3" fontId="1" fillId="0" borderId="20" xfId="0" applyNumberFormat="1" applyFont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top" wrapText="1"/>
    </xf>
    <xf numFmtId="0" fontId="14" fillId="34" borderId="17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175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>
      <alignment horizontal="left" vertical="center" wrapText="1"/>
    </xf>
    <xf numFmtId="0" fontId="2" fillId="33" borderId="0" xfId="0" applyFont="1" applyFill="1" applyAlignment="1" applyProtection="1">
      <alignment horizontal="center" wrapText="1"/>
      <protection locked="0"/>
    </xf>
    <xf numFmtId="0" fontId="16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top" wrapText="1"/>
    </xf>
    <xf numFmtId="0" fontId="14" fillId="33" borderId="0" xfId="0" applyFont="1" applyFill="1" applyAlignment="1">
      <alignment horizontal="justify" vertical="top" wrapText="1"/>
    </xf>
    <xf numFmtId="0" fontId="16" fillId="33" borderId="0" xfId="0" applyFont="1" applyFill="1" applyAlignment="1">
      <alignment horizontal="right"/>
    </xf>
    <xf numFmtId="0" fontId="16" fillId="33" borderId="0" xfId="0" applyFont="1" applyFill="1" applyAlignment="1">
      <alignment horizontal="right" wrapText="1"/>
    </xf>
    <xf numFmtId="0" fontId="4" fillId="33" borderId="67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1" fillId="33" borderId="67" xfId="0" applyFont="1" applyFill="1" applyBorder="1" applyAlignment="1">
      <alignment horizontal="left" wrapText="1"/>
    </xf>
    <xf numFmtId="0" fontId="4" fillId="33" borderId="67" xfId="0" applyFont="1" applyFill="1" applyBorder="1" applyAlignment="1">
      <alignment horizontal="left" wrapText="1"/>
    </xf>
    <xf numFmtId="0" fontId="73" fillId="36" borderId="69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/>
    </xf>
    <xf numFmtId="0" fontId="2" fillId="36" borderId="71" xfId="0" applyFont="1" applyFill="1" applyBorder="1" applyAlignment="1">
      <alignment horizontal="center" vertical="top"/>
    </xf>
    <xf numFmtId="0" fontId="2" fillId="36" borderId="13" xfId="0" applyFont="1" applyFill="1" applyBorder="1" applyAlignment="1">
      <alignment horizontal="center" vertical="top"/>
    </xf>
    <xf numFmtId="0" fontId="2" fillId="36" borderId="0" xfId="0" applyFont="1" applyFill="1" applyBorder="1" applyAlignment="1">
      <alignment horizontal="center" vertical="top"/>
    </xf>
    <xf numFmtId="0" fontId="2" fillId="36" borderId="14" xfId="0" applyFont="1" applyFill="1" applyBorder="1" applyAlignment="1">
      <alignment horizontal="center" vertical="top"/>
    </xf>
    <xf numFmtId="0" fontId="2" fillId="36" borderId="75" xfId="0" applyFont="1" applyFill="1" applyBorder="1" applyAlignment="1">
      <alignment horizontal="center" vertical="top"/>
    </xf>
    <xf numFmtId="0" fontId="2" fillId="36" borderId="43" xfId="0" applyFont="1" applyFill="1" applyBorder="1" applyAlignment="1">
      <alignment horizontal="center" vertical="top"/>
    </xf>
    <xf numFmtId="0" fontId="2" fillId="36" borderId="76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right"/>
    </xf>
    <xf numFmtId="0" fontId="14" fillId="34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6" borderId="19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left" vertical="center" wrapText="1"/>
      <protection/>
    </xf>
    <xf numFmtId="0" fontId="16" fillId="33" borderId="18" xfId="0" applyFont="1" applyFill="1" applyBorder="1" applyAlignment="1">
      <alignment horizontal="left" vertical="top" wrapText="1"/>
    </xf>
    <xf numFmtId="0" fontId="16" fillId="33" borderId="21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right" vertical="top" wrapText="1"/>
    </xf>
    <xf numFmtId="0" fontId="47" fillId="42" borderId="0" xfId="0" applyFont="1" applyFill="1" applyBorder="1" applyAlignment="1">
      <alignment horizontal="center" vertical="top"/>
    </xf>
    <xf numFmtId="0" fontId="47" fillId="42" borderId="19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right"/>
    </xf>
    <xf numFmtId="0" fontId="14" fillId="33" borderId="0" xfId="0" applyFont="1" applyFill="1" applyAlignment="1" applyProtection="1">
      <alignment horizontal="left" vertical="top" wrapText="1"/>
      <protection/>
    </xf>
    <xf numFmtId="0" fontId="14" fillId="0" borderId="20" xfId="0" applyFont="1" applyBorder="1" applyAlignment="1">
      <alignment horizontal="left" vertical="center" wrapText="1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right" vertical="center" wrapText="1"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0" xfId="42" applyFill="1" applyBorder="1" applyAlignment="1" applyProtection="1">
      <alignment horizontal="left"/>
      <protection/>
    </xf>
    <xf numFmtId="0" fontId="17" fillId="34" borderId="0" xfId="0" applyFont="1" applyFill="1" applyBorder="1" applyAlignment="1">
      <alignment horizontal="left"/>
    </xf>
    <xf numFmtId="0" fontId="32" fillId="34" borderId="35" xfId="0" applyFont="1" applyFill="1" applyBorder="1" applyAlignment="1">
      <alignment horizontal="left" vertical="center" wrapText="1"/>
    </xf>
    <xf numFmtId="0" fontId="32" fillId="34" borderId="83" xfId="0" applyFont="1" applyFill="1" applyBorder="1" applyAlignment="1">
      <alignment horizontal="left" vertical="center" wrapText="1"/>
    </xf>
    <xf numFmtId="0" fontId="32" fillId="34" borderId="36" xfId="0" applyFont="1" applyFill="1" applyBorder="1" applyAlignment="1">
      <alignment horizontal="left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left" vertical="top" wrapText="1"/>
    </xf>
    <xf numFmtId="0" fontId="16" fillId="33" borderId="4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36" borderId="19" xfId="0" applyFont="1" applyFill="1" applyBorder="1" applyAlignment="1" applyProtection="1">
      <alignment horizontal="left" vertical="center" wrapText="1"/>
      <protection locked="0"/>
    </xf>
    <xf numFmtId="49" fontId="57" fillId="42" borderId="16" xfId="0" applyNumberFormat="1" applyFont="1" applyFill="1" applyBorder="1" applyAlignment="1">
      <alignment horizontal="center" vertical="center" wrapText="1"/>
    </xf>
    <xf numFmtId="49" fontId="57" fillId="42" borderId="0" xfId="0" applyNumberFormat="1" applyFont="1" applyFill="1" applyBorder="1" applyAlignment="1">
      <alignment horizontal="center" vertical="center" wrapText="1"/>
    </xf>
    <xf numFmtId="49" fontId="57" fillId="42" borderId="19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left" vertical="top" wrapText="1"/>
    </xf>
    <xf numFmtId="0" fontId="16" fillId="33" borderId="8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6" fillId="36" borderId="19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left" vertical="top"/>
    </xf>
    <xf numFmtId="0" fontId="16" fillId="33" borderId="43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2" fillId="36" borderId="21" xfId="0" applyFont="1" applyFill="1" applyBorder="1" applyAlignment="1" applyProtection="1">
      <alignment horizontal="center" vertical="center" wrapText="1"/>
      <protection locked="0"/>
    </xf>
    <xf numFmtId="0" fontId="2" fillId="36" borderId="22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  <protection locked="0"/>
    </xf>
    <xf numFmtId="0" fontId="16" fillId="0" borderId="25" xfId="0" applyFont="1" applyFill="1" applyBorder="1" applyAlignment="1" applyProtection="1">
      <alignment horizontal="left" vertical="center" wrapText="1"/>
      <protection locked="0"/>
    </xf>
    <xf numFmtId="0" fontId="16" fillId="0" borderId="22" xfId="0" applyFont="1" applyFill="1" applyBorder="1" applyAlignment="1" applyProtection="1">
      <alignment horizontal="left" vertical="center" wrapText="1"/>
      <protection locked="0"/>
    </xf>
    <xf numFmtId="0" fontId="2" fillId="36" borderId="19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top"/>
    </xf>
    <xf numFmtId="0" fontId="16" fillId="33" borderId="19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 vertical="top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36" borderId="2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 indent="2"/>
    </xf>
    <xf numFmtId="0" fontId="2" fillId="36" borderId="22" xfId="0" applyNumberFormat="1" applyFont="1" applyFill="1" applyBorder="1" applyAlignment="1" applyProtection="1">
      <alignment horizontal="center" vertical="center" wrapText="1"/>
      <protection locked="0"/>
    </xf>
    <xf numFmtId="3" fontId="1" fillId="36" borderId="2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right" wrapText="1" indent="2"/>
    </xf>
    <xf numFmtId="0" fontId="1" fillId="33" borderId="14" xfId="0" applyFont="1" applyFill="1" applyBorder="1" applyAlignment="1">
      <alignment horizontal="right" wrapText="1" indent="2"/>
    </xf>
    <xf numFmtId="0" fontId="5" fillId="34" borderId="0" xfId="42" applyFill="1" applyAlignment="1" applyProtection="1">
      <alignment horizontal="left"/>
      <protection/>
    </xf>
    <xf numFmtId="0" fontId="17" fillId="34" borderId="0" xfId="0" applyFont="1" applyFill="1" applyAlignment="1">
      <alignment horizontal="left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89" xfId="0" applyNumberFormat="1" applyFont="1" applyBorder="1" applyAlignment="1">
      <alignment horizontal="center" vertical="center" wrapText="1"/>
    </xf>
    <xf numFmtId="175" fontId="2" fillId="33" borderId="24" xfId="0" applyNumberFormat="1" applyFont="1" applyFill="1" applyBorder="1" applyAlignment="1" applyProtection="1">
      <alignment horizontal="center" vertical="center" wrapText="1"/>
      <protection/>
    </xf>
    <xf numFmtId="175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0" xfId="0" applyFont="1" applyAlignment="1" applyProtection="1">
      <alignment horizontal="center" wrapText="1"/>
      <protection locked="0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17" fillId="33" borderId="29" xfId="0" applyFont="1" applyFill="1" applyBorder="1" applyAlignment="1">
      <alignment horizontal="left" vertical="top" wrapText="1" indent="2"/>
    </xf>
    <xf numFmtId="0" fontId="2" fillId="33" borderId="29" xfId="0" applyFont="1" applyFill="1" applyBorder="1" applyAlignment="1">
      <alignment horizontal="left" vertical="top" wrapText="1" indent="2"/>
    </xf>
    <xf numFmtId="0" fontId="17" fillId="36" borderId="21" xfId="0" applyFont="1" applyFill="1" applyBorder="1" applyAlignment="1">
      <alignment horizontal="left" vertical="top" wrapText="1" indent="2"/>
    </xf>
    <xf numFmtId="0" fontId="2" fillId="36" borderId="25" xfId="0" applyFont="1" applyFill="1" applyBorder="1" applyAlignment="1">
      <alignment horizontal="left" vertical="top" wrapText="1" indent="2"/>
    </xf>
    <xf numFmtId="0" fontId="2" fillId="36" borderId="22" xfId="0" applyFont="1" applyFill="1" applyBorder="1" applyAlignment="1">
      <alignment horizontal="left" vertical="top" wrapText="1" indent="2"/>
    </xf>
    <xf numFmtId="0" fontId="2" fillId="33" borderId="0" xfId="0" applyFont="1" applyFill="1" applyAlignment="1" applyProtection="1">
      <alignment horizontal="justify" vertical="top" wrapText="1"/>
      <protection locked="0"/>
    </xf>
    <xf numFmtId="0" fontId="1" fillId="33" borderId="0" xfId="0" applyFont="1" applyFill="1" applyAlignment="1">
      <alignment horizontal="left" vertical="center" wrapText="1"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right" vertical="center" wrapText="1"/>
    </xf>
    <xf numFmtId="0" fontId="47" fillId="42" borderId="0" xfId="0" applyFont="1" applyFill="1" applyBorder="1" applyAlignment="1">
      <alignment horizontal="center" vertical="center"/>
    </xf>
    <xf numFmtId="0" fontId="47" fillId="42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right" vertical="center"/>
    </xf>
    <xf numFmtId="0" fontId="2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left" vertical="center" wrapText="1" indent="2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left" vertical="center" wrapText="1" indent="2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2"/>
    </xf>
    <xf numFmtId="0" fontId="102" fillId="33" borderId="0" xfId="0" applyFont="1" applyFill="1" applyAlignment="1">
      <alignment horizontal="center" vertical="center" textRotation="90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3" fillId="0" borderId="38" xfId="0" applyNumberFormat="1" applyFont="1" applyFill="1" applyBorder="1" applyAlignment="1">
      <alignment horizontal="center" vertical="center" wrapText="1"/>
    </xf>
    <xf numFmtId="3" fontId="13" fillId="0" borderId="90" xfId="0" applyNumberFormat="1" applyFont="1" applyFill="1" applyBorder="1" applyAlignment="1">
      <alignment horizontal="center" vertical="center" wrapText="1"/>
    </xf>
    <xf numFmtId="3" fontId="13" fillId="0" borderId="89" xfId="0" applyNumberFormat="1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left" vertical="center" wrapText="1"/>
    </xf>
    <xf numFmtId="0" fontId="56" fillId="34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justify" vertical="top" wrapText="1"/>
    </xf>
    <xf numFmtId="0" fontId="1" fillId="33" borderId="67" xfId="0" applyFont="1" applyFill="1" applyBorder="1" applyAlignment="1">
      <alignment horizontal="center" wrapText="1"/>
    </xf>
    <xf numFmtId="169" fontId="35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>
      <alignment horizontal="left" wrapText="1" indent="2"/>
    </xf>
    <xf numFmtId="49" fontId="2" fillId="33" borderId="0" xfId="0" applyNumberFormat="1" applyFont="1" applyFill="1" applyAlignment="1">
      <alignment horizontal="left" vertical="top" wrapText="1"/>
    </xf>
    <xf numFmtId="0" fontId="35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left" vertical="center" wrapText="1"/>
    </xf>
    <xf numFmtId="0" fontId="35" fillId="36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5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 indent="2"/>
    </xf>
    <xf numFmtId="169" fontId="35" fillId="36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 applyProtection="1">
      <alignment horizontal="left"/>
      <protection/>
    </xf>
    <xf numFmtId="0" fontId="105" fillId="33" borderId="0" xfId="0" applyFont="1" applyFill="1" applyAlignment="1">
      <alignment horizontal="center" vertical="center" textRotation="90"/>
    </xf>
    <xf numFmtId="0" fontId="1" fillId="33" borderId="0" xfId="0" applyFont="1" applyFill="1" applyBorder="1" applyAlignment="1">
      <alignment horizontal="right" wrapText="1" indent="2"/>
    </xf>
    <xf numFmtId="0" fontId="2" fillId="0" borderId="55" xfId="0" applyFont="1" applyFill="1" applyBorder="1" applyAlignment="1">
      <alignment horizontal="left" vertical="center" wrapText="1"/>
    </xf>
    <xf numFmtId="0" fontId="2" fillId="36" borderId="90" xfId="0" applyFont="1" applyFill="1" applyBorder="1" applyAlignment="1" applyProtection="1">
      <alignment horizontal="left" vertical="center" wrapText="1"/>
      <protection locked="0"/>
    </xf>
    <xf numFmtId="0" fontId="2" fillId="36" borderId="89" xfId="0" applyFont="1" applyFill="1" applyBorder="1" applyAlignment="1" applyProtection="1">
      <alignment horizontal="left" vertical="center" wrapText="1"/>
      <protection locked="0"/>
    </xf>
    <xf numFmtId="0" fontId="16" fillId="0" borderId="38" xfId="0" applyFont="1" applyFill="1" applyBorder="1" applyAlignment="1">
      <alignment horizontal="left" vertical="center" wrapText="1"/>
    </xf>
    <xf numFmtId="0" fontId="16" fillId="0" borderId="9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vertical="top" wrapText="1"/>
    </xf>
    <xf numFmtId="49" fontId="5" fillId="34" borderId="0" xfId="42" applyNumberFormat="1" applyFill="1" applyBorder="1" applyAlignment="1" applyProtection="1">
      <alignment horizontal="left" vertical="center" wrapText="1"/>
      <protection/>
    </xf>
    <xf numFmtId="0" fontId="35" fillId="33" borderId="20" xfId="0" applyFont="1" applyFill="1" applyBorder="1" applyAlignment="1">
      <alignment horizontal="left" vertical="center" wrapText="1"/>
    </xf>
    <xf numFmtId="1" fontId="13" fillId="33" borderId="20" xfId="0" applyNumberFormat="1" applyFont="1" applyFill="1" applyBorder="1" applyAlignment="1">
      <alignment horizontal="center" vertical="center" wrapText="1"/>
    </xf>
    <xf numFmtId="49" fontId="17" fillId="34" borderId="0" xfId="0" applyNumberFormat="1" applyFont="1" applyFill="1" applyBorder="1" applyAlignment="1">
      <alignment horizontal="left" vertical="center" wrapText="1"/>
    </xf>
    <xf numFmtId="0" fontId="104" fillId="33" borderId="0" xfId="0" applyFont="1" applyFill="1" applyAlignment="1">
      <alignment horizontal="center" vertical="center" textRotation="90"/>
    </xf>
    <xf numFmtId="0" fontId="35" fillId="0" borderId="20" xfId="0" applyFont="1" applyBorder="1" applyAlignment="1">
      <alignment horizontal="left" vertical="center" wrapText="1"/>
    </xf>
    <xf numFmtId="1" fontId="13" fillId="0" borderId="20" xfId="0" applyNumberFormat="1" applyFont="1" applyBorder="1" applyAlignment="1">
      <alignment horizontal="center" vertical="center" wrapText="1"/>
    </xf>
    <xf numFmtId="2" fontId="35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horizontal="left" vertical="center" wrapText="1"/>
    </xf>
    <xf numFmtId="0" fontId="35" fillId="33" borderId="21" xfId="0" applyFont="1" applyFill="1" applyBorder="1" applyAlignment="1">
      <alignment horizontal="left" vertical="center" wrapText="1"/>
    </xf>
    <xf numFmtId="0" fontId="35" fillId="33" borderId="25" xfId="0" applyFont="1" applyFill="1" applyBorder="1" applyAlignment="1">
      <alignment horizontal="left" vertical="center" wrapText="1"/>
    </xf>
    <xf numFmtId="0" fontId="35" fillId="33" borderId="22" xfId="0" applyFont="1" applyFill="1" applyBorder="1" applyAlignment="1">
      <alignment horizontal="left" vertical="center" wrapText="1"/>
    </xf>
    <xf numFmtId="1" fontId="13" fillId="33" borderId="21" xfId="0" applyNumberFormat="1" applyFont="1" applyFill="1" applyBorder="1" applyAlignment="1">
      <alignment horizontal="center" vertical="center" wrapText="1"/>
    </xf>
    <xf numFmtId="1" fontId="13" fillId="33" borderId="22" xfId="0" applyNumberFormat="1" applyFont="1" applyFill="1" applyBorder="1" applyAlignment="1">
      <alignment horizontal="center" vertical="center" wrapText="1"/>
    </xf>
    <xf numFmtId="0" fontId="35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left" vertical="top" wrapText="1"/>
    </xf>
    <xf numFmtId="0" fontId="1" fillId="34" borderId="41" xfId="0" applyFont="1" applyFill="1" applyBorder="1" applyAlignment="1">
      <alignment horizontal="left" vertical="center" wrapText="1"/>
    </xf>
    <xf numFmtId="3" fontId="16" fillId="33" borderId="0" xfId="0" applyNumberFormat="1" applyFont="1" applyFill="1" applyBorder="1" applyAlignment="1">
      <alignment horizontal="left" vertical="center" wrapText="1" indent="1"/>
    </xf>
    <xf numFmtId="4" fontId="1" fillId="33" borderId="53" xfId="0" applyNumberFormat="1" applyFont="1" applyFill="1" applyBorder="1" applyAlignment="1">
      <alignment horizontal="center" vertical="center" wrapText="1"/>
    </xf>
    <xf numFmtId="0" fontId="2" fillId="33" borderId="5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5" fillId="34" borderId="0" xfId="42" applyFill="1" applyAlignment="1" applyProtection="1">
      <alignment/>
      <protection/>
    </xf>
    <xf numFmtId="0" fontId="17" fillId="34" borderId="0" xfId="0" applyFont="1" applyFill="1" applyAlignment="1">
      <alignment/>
    </xf>
    <xf numFmtId="0" fontId="1" fillId="33" borderId="32" xfId="0" applyFont="1" applyFill="1" applyBorder="1" applyAlignment="1">
      <alignment horizontal="right" wrapText="1" indent="2"/>
    </xf>
    <xf numFmtId="0" fontId="4" fillId="33" borderId="0" xfId="0" applyFont="1" applyFill="1" applyBorder="1" applyAlignment="1">
      <alignment horizontal="left" vertical="center" wrapText="1" indent="1"/>
    </xf>
    <xf numFmtId="0" fontId="16" fillId="33" borderId="32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/>
    </xf>
    <xf numFmtId="0" fontId="2" fillId="33" borderId="70" xfId="0" applyFont="1" applyFill="1" applyBorder="1" applyAlignment="1">
      <alignment horizontal="left" vertical="center" wrapText="1"/>
    </xf>
    <xf numFmtId="3" fontId="13" fillId="0" borderId="70" xfId="0" applyNumberFormat="1" applyFont="1" applyBorder="1" applyAlignment="1">
      <alignment horizontal="center" vertical="center" wrapText="1"/>
    </xf>
    <xf numFmtId="3" fontId="13" fillId="0" borderId="73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wrapText="1"/>
    </xf>
    <xf numFmtId="0" fontId="2" fillId="33" borderId="15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106" fillId="36" borderId="12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7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1" fillId="34" borderId="91" xfId="0" applyFont="1" applyFill="1" applyBorder="1" applyAlignment="1">
      <alignment horizontal="left" vertical="center" wrapText="1"/>
    </xf>
    <xf numFmtId="0" fontId="1" fillId="34" borderId="92" xfId="0" applyFont="1" applyFill="1" applyBorder="1" applyAlignment="1">
      <alignment horizontal="left" vertical="center" wrapText="1"/>
    </xf>
    <xf numFmtId="0" fontId="1" fillId="34" borderId="93" xfId="0" applyFont="1" applyFill="1" applyBorder="1" applyAlignment="1">
      <alignment horizontal="left" vertical="center" wrapText="1"/>
    </xf>
    <xf numFmtId="0" fontId="1" fillId="34" borderId="91" xfId="0" applyFont="1" applyFill="1" applyBorder="1" applyAlignment="1">
      <alignment horizontal="center" vertical="center" wrapText="1"/>
    </xf>
    <xf numFmtId="0" fontId="1" fillId="34" borderId="92" xfId="0" applyFont="1" applyFill="1" applyBorder="1" applyAlignment="1">
      <alignment horizontal="center" vertical="center" wrapText="1"/>
    </xf>
    <xf numFmtId="0" fontId="1" fillId="34" borderId="94" xfId="0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0" fontId="3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16" fillId="0" borderId="20" xfId="0" applyFont="1" applyBorder="1" applyAlignment="1">
      <alignment horizontal="left" vertical="center" wrapText="1"/>
    </xf>
    <xf numFmtId="0" fontId="56" fillId="33" borderId="0" xfId="0" applyFont="1" applyFill="1" applyAlignment="1">
      <alignment horizontal="left" vertical="top" wrapText="1"/>
    </xf>
    <xf numFmtId="175" fontId="35" fillId="36" borderId="55" xfId="0" applyNumberFormat="1" applyFont="1" applyFill="1" applyBorder="1" applyAlignment="1" applyProtection="1">
      <alignment horizontal="center" vertical="center"/>
      <protection locked="0"/>
    </xf>
    <xf numFmtId="3" fontId="35" fillId="36" borderId="55" xfId="0" applyNumberFormat="1" applyFont="1" applyFill="1" applyBorder="1" applyAlignment="1" applyProtection="1">
      <alignment horizontal="center" vertical="center"/>
      <protection locked="0"/>
    </xf>
    <xf numFmtId="0" fontId="16" fillId="33" borderId="95" xfId="0" applyFont="1" applyFill="1" applyBorder="1" applyAlignment="1">
      <alignment horizontal="left" vertical="center" wrapText="1"/>
    </xf>
    <xf numFmtId="0" fontId="113" fillId="34" borderId="96" xfId="0" applyFont="1" applyFill="1" applyBorder="1" applyAlignment="1">
      <alignment horizontal="left" vertical="center"/>
    </xf>
    <xf numFmtId="0" fontId="113" fillId="34" borderId="57" xfId="0" applyFont="1" applyFill="1" applyBorder="1" applyAlignment="1">
      <alignment horizontal="left" vertical="center"/>
    </xf>
    <xf numFmtId="0" fontId="113" fillId="34" borderId="79" xfId="0" applyFont="1" applyFill="1" applyBorder="1" applyAlignment="1">
      <alignment horizontal="left" vertical="center"/>
    </xf>
    <xf numFmtId="0" fontId="1" fillId="34" borderId="96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6" fillId="36" borderId="97" xfId="0" applyFont="1" applyFill="1" applyBorder="1" applyAlignment="1" applyProtection="1">
      <alignment horizontal="center" vertical="top" wrapText="1"/>
      <protection locked="0"/>
    </xf>
    <xf numFmtId="0" fontId="16" fillId="36" borderId="49" xfId="0" applyFont="1" applyFill="1" applyBorder="1" applyAlignment="1" applyProtection="1">
      <alignment horizontal="center" vertical="top" wrapText="1"/>
      <protection locked="0"/>
    </xf>
    <xf numFmtId="0" fontId="1" fillId="34" borderId="59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3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90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8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90" xfId="0" applyNumberFormat="1" applyFont="1" applyFill="1" applyBorder="1" applyAlignment="1">
      <alignment horizontal="center" vertical="center"/>
    </xf>
    <xf numFmtId="4" fontId="2" fillId="0" borderId="8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 indent="1"/>
    </xf>
    <xf numFmtId="3" fontId="35" fillId="0" borderId="20" xfId="0" applyNumberFormat="1" applyFont="1" applyFill="1" applyBorder="1" applyAlignment="1">
      <alignment horizontal="center" vertical="center" wrapText="1"/>
    </xf>
    <xf numFmtId="1" fontId="35" fillId="36" borderId="20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>
      <alignment horizontal="left" vertical="top" wrapText="1"/>
    </xf>
    <xf numFmtId="3" fontId="35" fillId="0" borderId="18" xfId="0" applyNumberFormat="1" applyFont="1" applyFill="1" applyBorder="1" applyAlignment="1">
      <alignment horizontal="center" vertical="center" wrapText="1"/>
    </xf>
    <xf numFmtId="0" fontId="35" fillId="36" borderId="20" xfId="0" applyNumberFormat="1" applyFont="1" applyFill="1" applyBorder="1" applyAlignment="1" applyProtection="1">
      <alignment horizontal="center" vertical="center" wrapText="1"/>
      <protection/>
    </xf>
    <xf numFmtId="3" fontId="35" fillId="36" borderId="18" xfId="0" applyNumberFormat="1" applyFont="1" applyFill="1" applyBorder="1" applyAlignment="1" applyProtection="1">
      <alignment horizontal="center" vertical="center" wrapText="1"/>
      <protection/>
    </xf>
    <xf numFmtId="0" fontId="35" fillId="36" borderId="18" xfId="0" applyNumberFormat="1" applyFont="1" applyFill="1" applyBorder="1" applyAlignment="1" applyProtection="1">
      <alignment horizontal="center" vertical="center" wrapText="1"/>
      <protection/>
    </xf>
    <xf numFmtId="0" fontId="13" fillId="41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center" wrapText="1" indent="1"/>
    </xf>
    <xf numFmtId="9" fontId="73" fillId="0" borderId="18" xfId="0" applyNumberFormat="1" applyFont="1" applyBorder="1" applyAlignment="1">
      <alignment horizontal="center" vertical="center" wrapText="1"/>
    </xf>
    <xf numFmtId="9" fontId="48" fillId="33" borderId="98" xfId="0" applyNumberFormat="1" applyFont="1" applyFill="1" applyBorder="1" applyAlignment="1" applyProtection="1">
      <alignment horizontal="center" vertical="center" wrapText="1"/>
      <protection/>
    </xf>
    <xf numFmtId="0" fontId="1" fillId="40" borderId="17" xfId="0" applyFont="1" applyFill="1" applyBorder="1" applyAlignment="1">
      <alignment horizontal="left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6" borderId="99" xfId="0" applyFont="1" applyFill="1" applyBorder="1" applyAlignment="1" applyProtection="1">
      <alignment horizontal="left" vertical="center" wrapText="1"/>
      <protection locked="0"/>
    </xf>
    <xf numFmtId="0" fontId="112" fillId="33" borderId="0" xfId="0" applyFont="1" applyFill="1" applyBorder="1" applyAlignment="1">
      <alignment horizontal="left" vertical="top" wrapText="1"/>
    </xf>
    <xf numFmtId="0" fontId="11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92" fillId="33" borderId="0" xfId="0" applyFont="1" applyFill="1" applyBorder="1" applyAlignment="1">
      <alignment horizontal="left" wrapText="1"/>
    </xf>
    <xf numFmtId="49" fontId="5" fillId="34" borderId="0" xfId="42" applyNumberFormat="1" applyFill="1" applyAlignment="1" applyProtection="1">
      <alignment/>
      <protection/>
    </xf>
    <xf numFmtId="0" fontId="0" fillId="34" borderId="0" xfId="0" applyFill="1" applyAlignment="1">
      <alignment/>
    </xf>
    <xf numFmtId="3" fontId="35" fillId="36" borderId="18" xfId="0" applyNumberFormat="1" applyFont="1" applyFill="1" applyBorder="1" applyAlignment="1">
      <alignment horizontal="center" vertical="center" wrapText="1"/>
    </xf>
    <xf numFmtId="0" fontId="3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36" borderId="0" xfId="0" applyFont="1" applyFill="1" applyBorder="1" applyAlignment="1" applyProtection="1">
      <alignment horizontal="center"/>
      <protection locked="0"/>
    </xf>
    <xf numFmtId="3" fontId="2" fillId="0" borderId="18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wrapText="1"/>
      <protection locked="0"/>
    </xf>
    <xf numFmtId="0" fontId="1" fillId="33" borderId="0" xfId="0" applyFont="1" applyFill="1" applyAlignment="1" applyProtection="1">
      <alignment horizontal="left" vertical="top" wrapText="1"/>
      <protection/>
    </xf>
    <xf numFmtId="3" fontId="35" fillId="36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1" fillId="37" borderId="100" xfId="0" applyFont="1" applyFill="1" applyBorder="1" applyAlignment="1" applyProtection="1">
      <alignment horizontal="left" vertical="center" wrapText="1" indent="1"/>
      <protection locked="0"/>
    </xf>
    <xf numFmtId="0" fontId="2" fillId="37" borderId="100" xfId="0" applyFont="1" applyFill="1" applyBorder="1" applyAlignment="1" applyProtection="1">
      <alignment horizontal="left" vertical="center" wrapText="1" indent="1"/>
      <protection locked="0"/>
    </xf>
    <xf numFmtId="1" fontId="3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center" vertical="center" wrapText="1"/>
    </xf>
    <xf numFmtId="0" fontId="0" fillId="36" borderId="12" xfId="0" applyFill="1" applyBorder="1" applyAlignment="1" applyProtection="1">
      <alignment horizontal="center" wrapText="1"/>
      <protection locked="0"/>
    </xf>
    <xf numFmtId="0" fontId="1" fillId="33" borderId="12" xfId="0" applyFont="1" applyFill="1" applyBorder="1" applyAlignment="1">
      <alignment horizontal="center" vertical="center" wrapText="1"/>
    </xf>
    <xf numFmtId="0" fontId="47" fillId="42" borderId="0" xfId="0" applyFont="1" applyFill="1" applyBorder="1" applyAlignment="1">
      <alignment horizontal="center" vertical="center" wrapText="1"/>
    </xf>
    <xf numFmtId="0" fontId="47" fillId="42" borderId="19" xfId="0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/>
    </xf>
    <xf numFmtId="0" fontId="1" fillId="33" borderId="68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01" xfId="0" applyFont="1" applyFill="1" applyBorder="1" applyAlignment="1">
      <alignment horizontal="center" vertical="center" wrapText="1"/>
    </xf>
    <xf numFmtId="0" fontId="2" fillId="36" borderId="70" xfId="0" applyFont="1" applyFill="1" applyBorder="1" applyAlignment="1" applyProtection="1">
      <alignment horizontal="center" vertical="center" wrapText="1"/>
      <protection locked="0"/>
    </xf>
    <xf numFmtId="0" fontId="2" fillId="36" borderId="73" xfId="0" applyFont="1" applyFill="1" applyBorder="1" applyAlignment="1" applyProtection="1">
      <alignment horizontal="center" vertical="center" wrapText="1"/>
      <protection locked="0"/>
    </xf>
    <xf numFmtId="0" fontId="0" fillId="36" borderId="70" xfId="0" applyFill="1" applyBorder="1" applyAlignment="1" applyProtection="1">
      <alignment wrapText="1"/>
      <protection locked="0"/>
    </xf>
    <xf numFmtId="0" fontId="0" fillId="36" borderId="73" xfId="0" applyFill="1" applyBorder="1" applyAlignment="1" applyProtection="1">
      <alignment wrapText="1"/>
      <protection locked="0"/>
    </xf>
    <xf numFmtId="0" fontId="2" fillId="36" borderId="42" xfId="0" applyFont="1" applyFill="1" applyBorder="1" applyAlignment="1" applyProtection="1">
      <alignment horizontal="center" vertical="center" wrapText="1"/>
      <protection locked="0"/>
    </xf>
    <xf numFmtId="0" fontId="1" fillId="33" borderId="70" xfId="0" applyFont="1" applyFill="1" applyBorder="1" applyAlignment="1" applyProtection="1">
      <alignment horizontal="center" vertical="center" wrapText="1"/>
      <protection locked="0"/>
    </xf>
    <xf numFmtId="0" fontId="1" fillId="33" borderId="42" xfId="0" applyFont="1" applyFill="1" applyBorder="1" applyAlignment="1" applyProtection="1">
      <alignment horizontal="center" vertical="center" wrapText="1"/>
      <protection locked="0"/>
    </xf>
    <xf numFmtId="0" fontId="1" fillId="33" borderId="7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2" fillId="33" borderId="19" xfId="0" applyNumberFormat="1" applyFont="1" applyFill="1" applyBorder="1" applyAlignment="1">
      <alignment horizontal="left"/>
    </xf>
    <xf numFmtId="0" fontId="22" fillId="33" borderId="12" xfId="0" applyFont="1" applyFill="1" applyBorder="1" applyAlignment="1" applyProtection="1">
      <alignment horizontal="center"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0" fontId="1" fillId="33" borderId="7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2" fillId="33" borderId="6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 applyProtection="1">
      <alignment horizontal="center" vertical="center" wrapText="1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7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center" wrapText="1"/>
    </xf>
    <xf numFmtId="0" fontId="14" fillId="0" borderId="70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73" xfId="0" applyFont="1" applyBorder="1" applyAlignment="1" applyProtection="1">
      <alignment horizontal="center" vertical="center" wrapText="1"/>
      <protection locked="0"/>
    </xf>
    <xf numFmtId="0" fontId="16" fillId="0" borderId="70" xfId="0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16" fillId="0" borderId="73" xfId="0" applyFont="1" applyBorder="1" applyAlignment="1" applyProtection="1">
      <alignment horizontal="center" vertical="center" wrapText="1"/>
      <protection locked="0"/>
    </xf>
    <xf numFmtId="0" fontId="2" fillId="36" borderId="39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>
      <alignment horizontal="right" vertical="center"/>
    </xf>
    <xf numFmtId="0" fontId="32" fillId="0" borderId="70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 applyProtection="1">
      <alignment horizontal="left" vertical="top" wrapText="1"/>
      <protection locked="0"/>
    </xf>
    <xf numFmtId="0" fontId="37" fillId="42" borderId="0" xfId="0" applyFont="1" applyFill="1" applyBorder="1" applyAlignment="1">
      <alignment horizontal="center" vertical="center" wrapText="1"/>
    </xf>
    <xf numFmtId="0" fontId="37" fillId="42" borderId="3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>
      <alignment horizontal="left" vertical="center" wrapText="1"/>
    </xf>
    <xf numFmtId="0" fontId="38" fillId="42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55" fillId="34" borderId="0" xfId="0" applyFont="1" applyFill="1" applyBorder="1" applyAlignment="1">
      <alignment horizontal="left" vertical="center" wrapText="1"/>
    </xf>
    <xf numFmtId="0" fontId="2" fillId="33" borderId="99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/>
    </xf>
    <xf numFmtId="0" fontId="7" fillId="36" borderId="43" xfId="0" applyFont="1" applyFill="1" applyBorder="1" applyAlignment="1" applyProtection="1">
      <alignment horizontal="left"/>
      <protection locked="0"/>
    </xf>
    <xf numFmtId="0" fontId="2" fillId="34" borderId="7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0" fontId="0" fillId="34" borderId="70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7" fillId="36" borderId="42" xfId="0" applyFont="1" applyFill="1" applyBorder="1" applyAlignment="1" applyProtection="1">
      <alignment horizontal="center"/>
      <protection locked="0"/>
    </xf>
    <xf numFmtId="0" fontId="2" fillId="36" borderId="43" xfId="0" applyFont="1" applyFill="1" applyBorder="1" applyAlignment="1" applyProtection="1">
      <alignment horizontal="center" vertical="center" wrapText="1"/>
      <protection locked="0"/>
    </xf>
    <xf numFmtId="0" fontId="7" fillId="33" borderId="102" xfId="0" applyFont="1" applyFill="1" applyBorder="1" applyAlignment="1">
      <alignment horizontal="left"/>
    </xf>
    <xf numFmtId="49" fontId="7" fillId="36" borderId="4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right" vertical="top" wrapText="1"/>
    </xf>
    <xf numFmtId="0" fontId="37" fillId="42" borderId="19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wrapText="1"/>
    </xf>
    <xf numFmtId="0" fontId="8" fillId="36" borderId="43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39" fillId="33" borderId="0" xfId="0" applyFont="1" applyFill="1" applyAlignment="1">
      <alignment horizontal="center" vertical="top"/>
    </xf>
    <xf numFmtId="0" fontId="39" fillId="33" borderId="16" xfId="0" applyFont="1" applyFill="1" applyBorder="1" applyAlignment="1">
      <alignment horizontal="center" vertical="top"/>
    </xf>
    <xf numFmtId="0" fontId="0" fillId="33" borderId="0" xfId="0" applyFill="1" applyAlignment="1">
      <alignment horizontal="center" vertical="center" wrapText="1"/>
    </xf>
    <xf numFmtId="0" fontId="0" fillId="36" borderId="43" xfId="0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>
      <alignment horizontal="center" vertical="top"/>
    </xf>
    <xf numFmtId="0" fontId="0" fillId="33" borderId="43" xfId="0" applyFill="1" applyBorder="1" applyAlignment="1">
      <alignment horizontal="center"/>
    </xf>
    <xf numFmtId="0" fontId="0" fillId="33" borderId="0" xfId="0" applyFill="1" applyAlignment="1">
      <alignment horizontal="left" vertical="center" wrapText="1"/>
    </xf>
    <xf numFmtId="0" fontId="0" fillId="33" borderId="43" xfId="0" applyFill="1" applyBorder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 locked="0"/>
    </xf>
    <xf numFmtId="0" fontId="16" fillId="33" borderId="103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right" vertical="center"/>
    </xf>
    <xf numFmtId="0" fontId="22" fillId="33" borderId="43" xfId="0" applyFont="1" applyFill="1" applyBorder="1" applyAlignment="1">
      <alignment horizontal="center" wrapText="1"/>
    </xf>
    <xf numFmtId="0" fontId="0" fillId="33" borderId="43" xfId="0" applyFill="1" applyBorder="1" applyAlignment="1">
      <alignment horizontal="left"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righ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0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strike val="0"/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strike val="0"/>
        <color indexed="8"/>
      </font>
      <fill>
        <patternFill>
          <bgColor indexed="9"/>
        </patternFill>
      </fill>
    </dxf>
    <dxf>
      <font>
        <color indexed="23"/>
      </font>
      <fill>
        <patternFill>
          <bgColor indexed="42"/>
        </patternFill>
      </fill>
    </dxf>
    <dxf>
      <font>
        <color indexed="23"/>
      </font>
      <fill>
        <patternFill>
          <bgColor indexed="42"/>
        </patternFill>
      </fill>
    </dxf>
    <dxf>
      <font>
        <strike val="0"/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3"/>
      </font>
      <fill>
        <patternFill>
          <bgColor indexed="42"/>
        </patternFill>
      </fill>
    </dxf>
    <dxf>
      <font>
        <color indexed="23"/>
      </font>
      <fill>
        <patternFill>
          <bgColor indexed="42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23"/>
      </font>
      <fill>
        <patternFill>
          <bgColor indexed="42"/>
        </patternFill>
      </fill>
    </dxf>
    <dxf>
      <font>
        <color indexed="23"/>
      </font>
      <fill>
        <patternFill>
          <bgColor indexed="42"/>
        </patternFill>
      </fill>
    </dxf>
    <dxf>
      <font>
        <color indexed="23"/>
      </font>
      <fill>
        <patternFill>
          <bgColor indexed="42"/>
        </patternFill>
      </fill>
    </dxf>
    <dxf>
      <font>
        <color indexed="23"/>
      </font>
      <fill>
        <patternFill>
          <bgColor indexed="42"/>
        </patternFill>
      </fill>
    </dxf>
    <dxf>
      <font>
        <strike val="0"/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auto="1"/>
      </font>
      <fill>
        <patternFill>
          <bgColor rgb="FFFFFFFF"/>
        </patternFill>
      </fill>
      <border/>
    </dxf>
    <dxf>
      <font>
        <color rgb="FF808080"/>
      </font>
      <fill>
        <patternFill>
          <bgColor rgb="FFCCFFCC"/>
        </patternFill>
      </fill>
      <border/>
    </dxf>
    <dxf>
      <font>
        <color rgb="FF00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9</xdr:col>
      <xdr:colOff>361950</xdr:colOff>
      <xdr:row>1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477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49</xdr:row>
      <xdr:rowOff>0</xdr:rowOff>
    </xdr:from>
    <xdr:to>
      <xdr:col>5</xdr:col>
      <xdr:colOff>361950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3305175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49</xdr:row>
      <xdr:rowOff>0</xdr:rowOff>
    </xdr:from>
    <xdr:to>
      <xdr:col>5</xdr:col>
      <xdr:colOff>361950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3305175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49</xdr:row>
      <xdr:rowOff>0</xdr:rowOff>
    </xdr:from>
    <xdr:to>
      <xdr:col>5</xdr:col>
      <xdr:colOff>361950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3305175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49</xdr:row>
      <xdr:rowOff>0</xdr:rowOff>
    </xdr:from>
    <xdr:to>
      <xdr:col>5</xdr:col>
      <xdr:colOff>361950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3305175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49</xdr:row>
      <xdr:rowOff>0</xdr:rowOff>
    </xdr:from>
    <xdr:to>
      <xdr:col>5</xdr:col>
      <xdr:colOff>361950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3305175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0</xdr:rowOff>
    </xdr:from>
    <xdr:to>
      <xdr:col>5</xdr:col>
      <xdr:colOff>276225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32194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0</xdr:rowOff>
    </xdr:from>
    <xdr:to>
      <xdr:col>5</xdr:col>
      <xdr:colOff>276225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32194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0</xdr:rowOff>
    </xdr:from>
    <xdr:to>
      <xdr:col>5</xdr:col>
      <xdr:colOff>276225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32194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0</xdr:rowOff>
    </xdr:from>
    <xdr:to>
      <xdr:col>5</xdr:col>
      <xdr:colOff>276225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0</xdr:rowOff>
    </xdr:from>
    <xdr:to>
      <xdr:col>5</xdr:col>
      <xdr:colOff>276225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32194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ontage@b95.ru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ontage@b95.ru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gerasimova@b95.ru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montage@b95.r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leonid@b95.ru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montage@b95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leonid@b95.ru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cctv@b95.ru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Armhitec.com" TargetMode="External" /><Relationship Id="rId2" Type="http://schemas.openxmlformats.org/officeDocument/2006/relationships/hyperlink" Target="mailto:cctv@b95.ru" TargetMode="External" /><Relationship Id="rId3" Type="http://schemas.openxmlformats.org/officeDocument/2006/relationships/hyperlink" Target="http://www.armhitec.com/" TargetMode="Externa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cctv@b95.ru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cctv@b95.ru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lebedeva@b95.ru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leonid@b95.ru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ebedeva@b95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ikolasserious@gmail.com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ontage@b95.ru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ontage@b95.r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ontage@b95.r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ontage@b95.ru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105"/>
  <sheetViews>
    <sheetView zoomScale="130" zoomScaleNormal="130" zoomScalePageLayoutView="0" workbookViewId="0" topLeftCell="A1">
      <selection activeCell="L131" sqref="L131"/>
    </sheetView>
  </sheetViews>
  <sheetFormatPr defaultColWidth="9.00390625" defaultRowHeight="12.75"/>
  <cols>
    <col min="1" max="1" width="8.00390625" style="1" customWidth="1"/>
    <col min="2" max="3" width="6.75390625" style="1" customWidth="1"/>
    <col min="4" max="4" width="9.25390625" style="1" customWidth="1"/>
    <col min="5" max="5" width="0.37109375" style="1" customWidth="1"/>
    <col min="6" max="6" width="11.75390625" style="1" customWidth="1"/>
    <col min="7" max="7" width="8.25390625" style="1" customWidth="1"/>
    <col min="8" max="8" width="14.75390625" style="1" customWidth="1"/>
    <col min="9" max="9" width="15.25390625" style="1" customWidth="1"/>
    <col min="10" max="10" width="5.125" style="1" customWidth="1"/>
    <col min="11" max="11" width="10.25390625" style="1" customWidth="1"/>
    <col min="12" max="20" width="9.125" style="6" customWidth="1"/>
    <col min="21" max="16384" width="9.125" style="7" customWidth="1"/>
  </cols>
  <sheetData>
    <row r="1" spans="1:16" ht="16.5" customHeight="1">
      <c r="A1" s="22"/>
      <c r="B1" s="374"/>
      <c r="C1" s="374"/>
      <c r="D1" s="720"/>
      <c r="E1" s="720"/>
      <c r="F1" s="720"/>
      <c r="G1" s="720"/>
      <c r="H1" s="720"/>
      <c r="I1" s="720"/>
      <c r="J1" s="374"/>
      <c r="K1" s="374"/>
      <c r="M1" s="31"/>
      <c r="N1" s="7"/>
      <c r="O1" s="7"/>
      <c r="P1" s="7"/>
    </row>
    <row r="2" spans="1:16" ht="79.5" customHeight="1" thickBot="1">
      <c r="A2" s="22"/>
      <c r="B2" s="22"/>
      <c r="C2" s="22"/>
      <c r="D2" s="720"/>
      <c r="E2" s="720"/>
      <c r="F2" s="720"/>
      <c r="G2" s="720"/>
      <c r="H2" s="720"/>
      <c r="I2" s="720"/>
      <c r="J2" s="374"/>
      <c r="K2" s="374"/>
      <c r="M2" s="31"/>
      <c r="N2" s="373"/>
      <c r="O2" s="373"/>
      <c r="P2" s="373"/>
    </row>
    <row r="3" spans="1:16" ht="17.25" customHeight="1">
      <c r="A3" s="727" t="s">
        <v>193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M3" s="31"/>
      <c r="N3" s="373"/>
      <c r="O3" s="373"/>
      <c r="P3" s="373"/>
    </row>
    <row r="4" spans="1:24" s="1" customFormat="1" ht="0.75" customHeight="1">
      <c r="A4" s="162"/>
      <c r="B4" s="162"/>
      <c r="C4" s="162"/>
      <c r="D4" s="162"/>
      <c r="E4" s="162"/>
      <c r="F4" s="286"/>
      <c r="G4" s="287"/>
      <c r="H4" s="155"/>
      <c r="I4" s="155"/>
      <c r="J4" s="155"/>
      <c r="K4" s="158"/>
      <c r="L4" s="158"/>
      <c r="M4" s="158"/>
      <c r="N4" s="158"/>
      <c r="O4" s="158"/>
      <c r="P4" s="7"/>
      <c r="Q4" s="7"/>
      <c r="R4" s="7"/>
      <c r="T4" s="7"/>
      <c r="U4" s="7"/>
      <c r="V4" s="7"/>
      <c r="W4" s="7"/>
      <c r="X4" s="7"/>
    </row>
    <row r="5" spans="1:24" s="1" customFormat="1" ht="13.5" customHeight="1">
      <c r="A5" s="721" t="s">
        <v>670</v>
      </c>
      <c r="B5" s="721"/>
      <c r="C5" s="721"/>
      <c r="D5" s="721"/>
      <c r="E5" s="164"/>
      <c r="F5" s="155" t="s">
        <v>564</v>
      </c>
      <c r="G5" s="155"/>
      <c r="H5" s="728" t="str">
        <f>CONCATENATE('Заявка стр. 1'!B4)</f>
        <v>АО "Научно-производственный центр "Вигстар"</v>
      </c>
      <c r="I5" s="728"/>
      <c r="J5" s="728"/>
      <c r="K5" s="728"/>
      <c r="L5" s="285" t="s">
        <v>1014</v>
      </c>
      <c r="M5" s="7"/>
      <c r="N5" s="7"/>
      <c r="O5" s="7"/>
      <c r="P5" s="7"/>
      <c r="Q5" s="285"/>
      <c r="R5" s="285"/>
      <c r="S5" s="285"/>
      <c r="T5" s="285"/>
      <c r="U5" s="7"/>
      <c r="V5" s="7"/>
      <c r="W5" s="7"/>
      <c r="X5" s="7"/>
    </row>
    <row r="6" spans="1:24" s="1" customFormat="1" ht="2.25" customHeight="1">
      <c r="A6" s="193"/>
      <c r="B6" s="194"/>
      <c r="C6" s="165"/>
      <c r="D6" s="165"/>
      <c r="E6" s="165"/>
      <c r="F6" s="155"/>
      <c r="G6" s="155"/>
      <c r="H6" s="728"/>
      <c r="I6" s="728"/>
      <c r="J6" s="728"/>
      <c r="K6" s="728"/>
      <c r="L6" s="285"/>
      <c r="M6" s="285"/>
      <c r="N6" s="285"/>
      <c r="O6" s="285"/>
      <c r="P6" s="285"/>
      <c r="Q6" s="285"/>
      <c r="R6" s="285"/>
      <c r="S6" s="285"/>
      <c r="T6" s="285"/>
      <c r="U6" s="7"/>
      <c r="V6" s="7"/>
      <c r="W6" s="7"/>
      <c r="X6" s="7"/>
    </row>
    <row r="7" spans="1:24" s="1" customFormat="1" ht="12" customHeight="1">
      <c r="A7" s="722">
        <f>CONCATENATE('Заявка стр. 2'!B10)</f>
      </c>
      <c r="B7" s="722"/>
      <c r="C7" s="722"/>
      <c r="D7" s="722"/>
      <c r="E7" s="191"/>
      <c r="F7" s="174"/>
      <c r="G7" s="174"/>
      <c r="H7" s="728"/>
      <c r="I7" s="728"/>
      <c r="J7" s="728"/>
      <c r="K7" s="728"/>
      <c r="L7" s="285"/>
      <c r="M7" s="7"/>
      <c r="N7" s="7"/>
      <c r="O7" s="7"/>
      <c r="P7" s="7"/>
      <c r="Q7" s="7"/>
      <c r="R7" s="7"/>
      <c r="S7" s="285"/>
      <c r="T7" s="285"/>
      <c r="U7" s="7"/>
      <c r="V7" s="7"/>
      <c r="W7" s="7"/>
      <c r="X7" s="7"/>
    </row>
    <row r="8" spans="1:24" s="1" customFormat="1" ht="2.25" customHeight="1">
      <c r="A8" s="166"/>
      <c r="B8" s="164"/>
      <c r="C8" s="167"/>
      <c r="D8" s="167"/>
      <c r="E8" s="167"/>
      <c r="F8" s="157"/>
      <c r="G8" s="157"/>
      <c r="H8" s="7"/>
      <c r="I8" s="7"/>
      <c r="J8" s="154"/>
      <c r="K8" s="180"/>
      <c r="L8" s="285"/>
      <c r="M8" s="285"/>
      <c r="N8" s="285"/>
      <c r="O8" s="285"/>
      <c r="P8" s="285"/>
      <c r="Q8" s="285"/>
      <c r="R8" s="285"/>
      <c r="S8" s="285"/>
      <c r="T8" s="285"/>
      <c r="U8" s="7"/>
      <c r="V8" s="7"/>
      <c r="W8" s="7"/>
      <c r="X8" s="7"/>
    </row>
    <row r="9" spans="1:24" s="1" customFormat="1" ht="12" customHeight="1">
      <c r="A9" s="170" t="s">
        <v>982</v>
      </c>
      <c r="B9" s="724" t="s">
        <v>983</v>
      </c>
      <c r="C9" s="724"/>
      <c r="D9" s="171"/>
      <c r="E9" s="192"/>
      <c r="F9" s="155" t="s">
        <v>977</v>
      </c>
      <c r="G9" s="155"/>
      <c r="H9" s="729" t="str">
        <f>CONCATENATE('Заявка стр. 1'!A25)</f>
        <v>Симонова Наталья Владимировна</v>
      </c>
      <c r="I9" s="729"/>
      <c r="J9" s="729"/>
      <c r="K9" s="729"/>
      <c r="L9" s="285"/>
      <c r="M9" s="285"/>
      <c r="N9" s="285"/>
      <c r="O9" s="285"/>
      <c r="P9" s="285"/>
      <c r="Q9" s="285"/>
      <c r="R9" s="285"/>
      <c r="S9" s="285"/>
      <c r="T9" s="285"/>
      <c r="U9" s="7"/>
      <c r="V9" s="7"/>
      <c r="W9" s="7"/>
      <c r="X9" s="7"/>
    </row>
    <row r="10" spans="1:24" s="1" customFormat="1" ht="2.25" customHeight="1">
      <c r="A10" s="166"/>
      <c r="B10" s="164"/>
      <c r="C10" s="167"/>
      <c r="D10" s="167"/>
      <c r="E10" s="167"/>
      <c r="F10" s="157"/>
      <c r="G10" s="157"/>
      <c r="H10" s="7"/>
      <c r="I10" s="7"/>
      <c r="J10" s="154"/>
      <c r="K10" s="180"/>
      <c r="L10" s="285"/>
      <c r="M10" s="285"/>
      <c r="N10" s="285"/>
      <c r="O10" s="285"/>
      <c r="P10" s="285"/>
      <c r="Q10" s="285"/>
      <c r="R10" s="285"/>
      <c r="S10" s="285"/>
      <c r="T10" s="285"/>
      <c r="U10" s="7"/>
      <c r="V10" s="7"/>
      <c r="W10" s="7"/>
      <c r="X10" s="7"/>
    </row>
    <row r="11" spans="1:24" s="1" customFormat="1" ht="12" customHeight="1">
      <c r="A11" s="170" t="s">
        <v>595</v>
      </c>
      <c r="B11" s="725">
        <f>'Заявка стр. 2'!C14</f>
        <v>0</v>
      </c>
      <c r="C11" s="726"/>
      <c r="D11" s="726"/>
      <c r="E11" s="192"/>
      <c r="F11" s="155" t="s">
        <v>978</v>
      </c>
      <c r="G11" s="155"/>
      <c r="H11" s="729" t="str">
        <f>CONCATENATE('Заявка стр. 1'!B27)</f>
        <v>(495) 276-52-71</v>
      </c>
      <c r="I11" s="729"/>
      <c r="J11" s="729"/>
      <c r="K11" s="729"/>
      <c r="L11" s="285"/>
      <c r="M11" s="180"/>
      <c r="N11" s="285"/>
      <c r="O11" s="285"/>
      <c r="P11" s="285"/>
      <c r="Q11" s="285"/>
      <c r="R11" s="285"/>
      <c r="S11" s="285"/>
      <c r="T11" s="285"/>
      <c r="U11" s="7"/>
      <c r="V11" s="7"/>
      <c r="W11" s="7"/>
      <c r="X11" s="7"/>
    </row>
    <row r="12" spans="1:24" s="1" customFormat="1" ht="2.25" customHeight="1">
      <c r="A12" s="203"/>
      <c r="B12" s="234"/>
      <c r="C12" s="203"/>
      <c r="D12" s="235"/>
      <c r="E12" s="235"/>
      <c r="F12" s="221"/>
      <c r="G12" s="221"/>
      <c r="H12" s="221"/>
      <c r="I12" s="221"/>
      <c r="J12" s="236"/>
      <c r="K12" s="236"/>
      <c r="L12" s="285"/>
      <c r="M12" s="285"/>
      <c r="N12" s="285"/>
      <c r="O12" s="285"/>
      <c r="P12" s="285"/>
      <c r="Q12" s="285"/>
      <c r="R12" s="285"/>
      <c r="S12" s="285"/>
      <c r="T12" s="285"/>
      <c r="U12" s="7"/>
      <c r="V12" s="7"/>
      <c r="W12" s="7"/>
      <c r="X12" s="7"/>
    </row>
    <row r="13" spans="1:20" ht="14.25" customHeight="1">
      <c r="A13" s="723" t="s">
        <v>194</v>
      </c>
      <c r="B13" s="723"/>
      <c r="C13" s="723"/>
      <c r="D13" s="723"/>
      <c r="E13" s="723"/>
      <c r="F13" s="723"/>
      <c r="G13" s="723"/>
      <c r="H13" s="723"/>
      <c r="I13" s="723"/>
      <c r="J13" s="723"/>
      <c r="K13" s="429"/>
      <c r="N13" s="7"/>
      <c r="O13" s="7"/>
      <c r="P13" s="7"/>
      <c r="Q13" s="7"/>
      <c r="R13" s="7"/>
      <c r="S13" s="7"/>
      <c r="T13" s="7"/>
    </row>
    <row r="14" spans="1:20" ht="12" customHeight="1">
      <c r="A14" s="711" t="s">
        <v>195</v>
      </c>
      <c r="B14" s="712"/>
      <c r="C14" s="712"/>
      <c r="D14" s="712"/>
      <c r="E14" s="712"/>
      <c r="F14" s="712"/>
      <c r="G14" s="430"/>
      <c r="H14" s="431" t="s">
        <v>615</v>
      </c>
      <c r="I14" s="713" t="s">
        <v>614</v>
      </c>
      <c r="J14" s="714"/>
      <c r="K14" s="433" t="s">
        <v>205</v>
      </c>
      <c r="M14" s="358"/>
      <c r="N14" s="7"/>
      <c r="O14" s="7"/>
      <c r="P14" s="7"/>
      <c r="Q14" s="7"/>
      <c r="R14" s="7"/>
      <c r="S14" s="7"/>
      <c r="T14" s="7"/>
    </row>
    <row r="15" spans="1:20" ht="22.5" customHeight="1">
      <c r="A15" s="715" t="s">
        <v>325</v>
      </c>
      <c r="B15" s="716"/>
      <c r="C15" s="716"/>
      <c r="D15" s="716"/>
      <c r="E15" s="716"/>
      <c r="F15" s="716"/>
      <c r="G15" s="717"/>
      <c r="H15" s="225" t="s">
        <v>789</v>
      </c>
      <c r="I15" s="718" t="s">
        <v>790</v>
      </c>
      <c r="J15" s="719"/>
      <c r="K15" s="432"/>
      <c r="M15" s="358"/>
      <c r="N15" s="7"/>
      <c r="O15" s="7"/>
      <c r="P15" s="7"/>
      <c r="Q15" s="7"/>
      <c r="R15" s="7"/>
      <c r="S15" s="7"/>
      <c r="T15" s="7"/>
    </row>
    <row r="16" spans="1:20" ht="25.5" customHeight="1">
      <c r="A16" s="715" t="s">
        <v>326</v>
      </c>
      <c r="B16" s="716"/>
      <c r="C16" s="716"/>
      <c r="D16" s="716"/>
      <c r="E16" s="716"/>
      <c r="F16" s="716"/>
      <c r="G16" s="717"/>
      <c r="H16" s="225" t="s">
        <v>199</v>
      </c>
      <c r="I16" s="718" t="s">
        <v>791</v>
      </c>
      <c r="J16" s="719"/>
      <c r="K16" s="432"/>
      <c r="M16" s="358"/>
      <c r="N16" s="7"/>
      <c r="O16" s="7"/>
      <c r="P16" s="7"/>
      <c r="Q16" s="7"/>
      <c r="R16" s="7"/>
      <c r="S16" s="7"/>
      <c r="T16" s="7"/>
    </row>
    <row r="17" spans="1:20" ht="24" customHeight="1">
      <c r="A17" s="715" t="s">
        <v>340</v>
      </c>
      <c r="B17" s="716"/>
      <c r="C17" s="716"/>
      <c r="D17" s="716"/>
      <c r="E17" s="716"/>
      <c r="F17" s="716"/>
      <c r="G17" s="717"/>
      <c r="H17" s="225" t="s">
        <v>200</v>
      </c>
      <c r="I17" s="718" t="s">
        <v>792</v>
      </c>
      <c r="J17" s="719"/>
      <c r="K17" s="432"/>
      <c r="M17" s="358"/>
      <c r="N17" s="7"/>
      <c r="O17" s="7"/>
      <c r="P17" s="7"/>
      <c r="Q17" s="7"/>
      <c r="R17" s="7"/>
      <c r="S17" s="7"/>
      <c r="T17" s="7"/>
    </row>
    <row r="18" spans="1:20" ht="15" customHeight="1">
      <c r="A18" s="715" t="s">
        <v>793</v>
      </c>
      <c r="B18" s="716"/>
      <c r="C18" s="716"/>
      <c r="D18" s="716"/>
      <c r="E18" s="716"/>
      <c r="F18" s="716"/>
      <c r="G18" s="717"/>
      <c r="H18" s="225" t="s">
        <v>950</v>
      </c>
      <c r="I18" s="718" t="s">
        <v>794</v>
      </c>
      <c r="J18" s="719"/>
      <c r="K18" s="432"/>
      <c r="M18" s="358"/>
      <c r="N18" s="7"/>
      <c r="O18" s="7"/>
      <c r="P18" s="7"/>
      <c r="Q18" s="7"/>
      <c r="R18" s="7"/>
      <c r="S18" s="7"/>
      <c r="T18" s="7"/>
    </row>
    <row r="19" spans="1:20" ht="24" customHeight="1" hidden="1">
      <c r="A19" s="715" t="s">
        <v>340</v>
      </c>
      <c r="B19" s="716"/>
      <c r="C19" s="716"/>
      <c r="D19" s="716"/>
      <c r="E19" s="716"/>
      <c r="F19" s="716"/>
      <c r="G19" s="717"/>
      <c r="H19" s="225" t="s">
        <v>200</v>
      </c>
      <c r="I19" s="718" t="s">
        <v>341</v>
      </c>
      <c r="J19" s="719"/>
      <c r="K19" s="432"/>
      <c r="M19" s="358"/>
      <c r="N19" s="7"/>
      <c r="O19" s="7"/>
      <c r="P19" s="7"/>
      <c r="Q19" s="7"/>
      <c r="R19" s="7"/>
      <c r="S19" s="7"/>
      <c r="T19" s="7"/>
    </row>
    <row r="20" spans="1:20" ht="25.5" customHeight="1">
      <c r="A20" s="715" t="s">
        <v>780</v>
      </c>
      <c r="B20" s="716"/>
      <c r="C20" s="716"/>
      <c r="D20" s="716"/>
      <c r="E20" s="716"/>
      <c r="F20" s="716"/>
      <c r="G20" s="717"/>
      <c r="H20" s="225" t="s">
        <v>781</v>
      </c>
      <c r="I20" s="718" t="s">
        <v>795</v>
      </c>
      <c r="J20" s="719"/>
      <c r="K20" s="432"/>
      <c r="M20" s="358"/>
      <c r="N20" s="7"/>
      <c r="O20" s="7"/>
      <c r="P20" s="7"/>
      <c r="Q20" s="7"/>
      <c r="R20" s="7"/>
      <c r="S20" s="7"/>
      <c r="T20" s="7"/>
    </row>
    <row r="21" spans="1:20" ht="39" customHeight="1">
      <c r="A21" s="715" t="s">
        <v>782</v>
      </c>
      <c r="B21" s="716"/>
      <c r="C21" s="716"/>
      <c r="D21" s="716"/>
      <c r="E21" s="716"/>
      <c r="F21" s="716"/>
      <c r="G21" s="717"/>
      <c r="H21" s="225" t="s">
        <v>202</v>
      </c>
      <c r="I21" s="718" t="s">
        <v>796</v>
      </c>
      <c r="J21" s="719"/>
      <c r="K21" s="432"/>
      <c r="M21" s="358"/>
      <c r="N21" s="7"/>
      <c r="O21" s="7"/>
      <c r="P21" s="7"/>
      <c r="Q21" s="7"/>
      <c r="R21" s="7"/>
      <c r="S21" s="7"/>
      <c r="T21" s="7"/>
    </row>
    <row r="22" spans="1:20" ht="14.25" customHeight="1">
      <c r="A22" s="715" t="s">
        <v>342</v>
      </c>
      <c r="B22" s="716"/>
      <c r="C22" s="716"/>
      <c r="D22" s="716"/>
      <c r="E22" s="716"/>
      <c r="F22" s="716"/>
      <c r="G22" s="717"/>
      <c r="H22" s="225" t="s">
        <v>797</v>
      </c>
      <c r="I22" s="718" t="s">
        <v>788</v>
      </c>
      <c r="J22" s="719"/>
      <c r="K22" s="432"/>
      <c r="M22" s="358"/>
      <c r="N22" s="7"/>
      <c r="O22" s="7"/>
      <c r="P22" s="7"/>
      <c r="Q22" s="7"/>
      <c r="R22" s="7"/>
      <c r="S22" s="7"/>
      <c r="T22" s="7"/>
    </row>
    <row r="23" spans="1:20" ht="25.5" customHeight="1">
      <c r="A23" s="715" t="s">
        <v>784</v>
      </c>
      <c r="B23" s="716"/>
      <c r="C23" s="716"/>
      <c r="D23" s="716"/>
      <c r="E23" s="716"/>
      <c r="F23" s="716"/>
      <c r="G23" s="717"/>
      <c r="H23" s="225" t="s">
        <v>201</v>
      </c>
      <c r="I23" s="718" t="s">
        <v>785</v>
      </c>
      <c r="J23" s="719"/>
      <c r="K23" s="432"/>
      <c r="M23" s="358"/>
      <c r="N23" s="7"/>
      <c r="O23" s="7"/>
      <c r="P23" s="7"/>
      <c r="Q23" s="7"/>
      <c r="R23" s="7"/>
      <c r="S23" s="7"/>
      <c r="T23" s="7"/>
    </row>
    <row r="24" spans="1:20" ht="23.25" customHeight="1" hidden="1">
      <c r="A24" s="455"/>
      <c r="B24" s="455"/>
      <c r="C24" s="455"/>
      <c r="D24" s="455"/>
      <c r="E24" s="455"/>
      <c r="F24" s="455"/>
      <c r="G24" s="455"/>
      <c r="K24" s="2"/>
      <c r="M24" s="358"/>
      <c r="N24" s="7"/>
      <c r="O24" s="7"/>
      <c r="P24" s="7"/>
      <c r="Q24" s="7"/>
      <c r="R24" s="7"/>
      <c r="S24" s="7"/>
      <c r="T24" s="7"/>
    </row>
    <row r="25" spans="1:20" ht="24" customHeight="1">
      <c r="A25" s="715" t="s">
        <v>915</v>
      </c>
      <c r="B25" s="716"/>
      <c r="C25" s="716"/>
      <c r="D25" s="716"/>
      <c r="E25" s="716"/>
      <c r="F25" s="716"/>
      <c r="G25" s="717"/>
      <c r="H25" s="225" t="s">
        <v>798</v>
      </c>
      <c r="I25" s="718" t="s">
        <v>799</v>
      </c>
      <c r="J25" s="719"/>
      <c r="K25" s="432"/>
      <c r="M25" s="358"/>
      <c r="N25" s="7"/>
      <c r="O25" s="7"/>
      <c r="P25" s="7"/>
      <c r="Q25" s="7"/>
      <c r="R25" s="7"/>
      <c r="S25" s="7"/>
      <c r="T25" s="7"/>
    </row>
    <row r="26" spans="1:20" ht="48.75" customHeight="1" hidden="1">
      <c r="A26" s="715" t="s">
        <v>783</v>
      </c>
      <c r="B26" s="716"/>
      <c r="C26" s="716"/>
      <c r="D26" s="716"/>
      <c r="E26" s="716"/>
      <c r="F26" s="716"/>
      <c r="G26" s="717"/>
      <c r="H26" s="225" t="s">
        <v>196</v>
      </c>
      <c r="I26" s="718" t="s">
        <v>914</v>
      </c>
      <c r="J26" s="719"/>
      <c r="K26" s="432"/>
      <c r="M26" s="358"/>
      <c r="N26" s="7"/>
      <c r="O26" s="7"/>
      <c r="P26" s="7"/>
      <c r="Q26" s="7"/>
      <c r="R26" s="7"/>
      <c r="S26" s="7"/>
      <c r="T26" s="7"/>
    </row>
    <row r="27" spans="1:20" ht="23.25" customHeight="1" hidden="1">
      <c r="A27" s="715" t="s">
        <v>915</v>
      </c>
      <c r="B27" s="716"/>
      <c r="C27" s="716"/>
      <c r="D27" s="716"/>
      <c r="E27" s="716"/>
      <c r="F27" s="716"/>
      <c r="G27" s="717"/>
      <c r="H27" s="225" t="s">
        <v>916</v>
      </c>
      <c r="I27" s="718" t="s">
        <v>203</v>
      </c>
      <c r="J27" s="719"/>
      <c r="K27" s="432"/>
      <c r="M27" s="358"/>
      <c r="N27" s="7"/>
      <c r="O27" s="7"/>
      <c r="P27" s="7"/>
      <c r="Q27" s="7"/>
      <c r="R27" s="7"/>
      <c r="S27" s="7"/>
      <c r="T27" s="7"/>
    </row>
    <row r="28" spans="1:20" ht="15.75" customHeight="1">
      <c r="A28" s="715" t="s">
        <v>917</v>
      </c>
      <c r="B28" s="716"/>
      <c r="C28" s="716"/>
      <c r="D28" s="716"/>
      <c r="E28" s="716"/>
      <c r="F28" s="716"/>
      <c r="G28" s="717"/>
      <c r="H28" s="434" t="s">
        <v>800</v>
      </c>
      <c r="I28" s="718" t="s">
        <v>801</v>
      </c>
      <c r="J28" s="719"/>
      <c r="K28" s="432"/>
      <c r="M28" s="358"/>
      <c r="N28" s="7"/>
      <c r="O28" s="7"/>
      <c r="P28" s="7"/>
      <c r="Q28" s="7"/>
      <c r="R28" s="7"/>
      <c r="S28" s="7"/>
      <c r="T28" s="7"/>
    </row>
    <row r="29" spans="1:20" ht="24" customHeight="1">
      <c r="A29" s="715" t="s">
        <v>918</v>
      </c>
      <c r="B29" s="716"/>
      <c r="C29" s="716"/>
      <c r="D29" s="716"/>
      <c r="E29" s="716"/>
      <c r="F29" s="716"/>
      <c r="G29" s="717"/>
      <c r="H29" s="435" t="s">
        <v>800</v>
      </c>
      <c r="I29" s="718" t="s">
        <v>802</v>
      </c>
      <c r="J29" s="719"/>
      <c r="K29" s="432"/>
      <c r="M29" s="358"/>
      <c r="N29" s="7"/>
      <c r="O29" s="7"/>
      <c r="P29" s="7"/>
      <c r="Q29" s="7"/>
      <c r="R29" s="7"/>
      <c r="S29" s="7"/>
      <c r="T29" s="7"/>
    </row>
    <row r="30" spans="1:20" ht="12.75" customHeight="1">
      <c r="A30" s="715" t="s">
        <v>803</v>
      </c>
      <c r="B30" s="716"/>
      <c r="C30" s="716"/>
      <c r="D30" s="716"/>
      <c r="E30" s="716"/>
      <c r="F30" s="716"/>
      <c r="G30" s="717"/>
      <c r="H30" s="225" t="s">
        <v>198</v>
      </c>
      <c r="I30" s="718" t="s">
        <v>804</v>
      </c>
      <c r="J30" s="719"/>
      <c r="K30" s="432"/>
      <c r="M30" s="358"/>
      <c r="N30" s="7"/>
      <c r="O30" s="7"/>
      <c r="P30" s="7"/>
      <c r="Q30" s="7"/>
      <c r="R30" s="7"/>
      <c r="S30" s="7"/>
      <c r="T30" s="7"/>
    </row>
    <row r="31" spans="1:20" ht="26.25" customHeight="1">
      <c r="A31" s="715" t="s">
        <v>805</v>
      </c>
      <c r="B31" s="716"/>
      <c r="C31" s="716"/>
      <c r="D31" s="716"/>
      <c r="E31" s="716"/>
      <c r="F31" s="716"/>
      <c r="G31" s="717"/>
      <c r="H31" s="225" t="s">
        <v>196</v>
      </c>
      <c r="I31" s="718" t="s">
        <v>806</v>
      </c>
      <c r="J31" s="719"/>
      <c r="K31" s="432"/>
      <c r="M31" s="358"/>
      <c r="N31" s="7"/>
      <c r="O31" s="7"/>
      <c r="P31" s="7"/>
      <c r="Q31" s="7"/>
      <c r="R31" s="7"/>
      <c r="S31" s="7"/>
      <c r="T31" s="7"/>
    </row>
    <row r="32" spans="1:20" ht="24.75" customHeight="1">
      <c r="A32" s="715" t="s">
        <v>955</v>
      </c>
      <c r="B32" s="716"/>
      <c r="C32" s="716"/>
      <c r="D32" s="716"/>
      <c r="E32" s="716"/>
      <c r="F32" s="716"/>
      <c r="G32" s="717"/>
      <c r="H32" s="225" t="s">
        <v>950</v>
      </c>
      <c r="I32" s="718" t="s">
        <v>956</v>
      </c>
      <c r="J32" s="719"/>
      <c r="K32" s="432" t="s">
        <v>61</v>
      </c>
      <c r="M32" s="358"/>
      <c r="N32" s="7"/>
      <c r="O32" s="7"/>
      <c r="P32" s="7"/>
      <c r="Q32" s="7"/>
      <c r="R32" s="7"/>
      <c r="S32" s="7"/>
      <c r="T32" s="7"/>
    </row>
    <row r="33" spans="1:20" ht="77.25" customHeight="1">
      <c r="A33" s="715" t="s">
        <v>919</v>
      </c>
      <c r="B33" s="716"/>
      <c r="C33" s="716"/>
      <c r="D33" s="716"/>
      <c r="E33" s="716"/>
      <c r="F33" s="716"/>
      <c r="G33" s="716"/>
      <c r="H33" s="436" t="s">
        <v>223</v>
      </c>
      <c r="I33" s="730" t="s">
        <v>807</v>
      </c>
      <c r="J33" s="731"/>
      <c r="K33" s="432"/>
      <c r="M33" s="358"/>
      <c r="N33" s="7"/>
      <c r="O33" s="7"/>
      <c r="P33" s="7"/>
      <c r="Q33" s="7"/>
      <c r="R33" s="7"/>
      <c r="S33" s="7"/>
      <c r="T33" s="7"/>
    </row>
    <row r="34" spans="1:20" ht="24.75" customHeight="1">
      <c r="A34" s="715" t="s">
        <v>808</v>
      </c>
      <c r="B34" s="716"/>
      <c r="C34" s="716"/>
      <c r="D34" s="716"/>
      <c r="E34" s="716"/>
      <c r="F34" s="716"/>
      <c r="G34" s="717"/>
      <c r="H34" s="439" t="s">
        <v>786</v>
      </c>
      <c r="I34" s="732" t="s">
        <v>787</v>
      </c>
      <c r="J34" s="731"/>
      <c r="K34" s="432"/>
      <c r="M34" s="358"/>
      <c r="N34" s="7"/>
      <c r="O34" s="7"/>
      <c r="P34" s="7"/>
      <c r="Q34" s="7"/>
      <c r="R34" s="7"/>
      <c r="S34" s="7"/>
      <c r="T34" s="7"/>
    </row>
    <row r="35" spans="1:20" ht="15.75" customHeight="1">
      <c r="A35" s="715" t="s">
        <v>809</v>
      </c>
      <c r="B35" s="716"/>
      <c r="C35" s="716"/>
      <c r="D35" s="716"/>
      <c r="E35" s="716"/>
      <c r="F35" s="716"/>
      <c r="G35" s="717"/>
      <c r="H35" s="225" t="s">
        <v>196</v>
      </c>
      <c r="I35" s="718" t="s">
        <v>810</v>
      </c>
      <c r="J35" s="719"/>
      <c r="K35" s="432"/>
      <c r="M35" s="358"/>
      <c r="N35" s="7"/>
      <c r="O35" s="7"/>
      <c r="P35" s="7"/>
      <c r="Q35" s="7"/>
      <c r="R35" s="7"/>
      <c r="S35" s="7"/>
      <c r="T35" s="7"/>
    </row>
    <row r="36" spans="1:11" ht="26.25" customHeight="1">
      <c r="A36" s="715" t="s">
        <v>811</v>
      </c>
      <c r="B36" s="716"/>
      <c r="C36" s="716"/>
      <c r="D36" s="716"/>
      <c r="E36" s="716"/>
      <c r="F36" s="716"/>
      <c r="G36" s="717"/>
      <c r="H36" s="225" t="s">
        <v>197</v>
      </c>
      <c r="I36" s="718" t="s">
        <v>812</v>
      </c>
      <c r="J36" s="719"/>
      <c r="K36" s="432"/>
    </row>
    <row r="37" spans="1:20" ht="12" customHeight="1">
      <c r="A37" s="701" t="s">
        <v>716</v>
      </c>
      <c r="B37" s="702"/>
      <c r="C37" s="702"/>
      <c r="D37" s="702"/>
      <c r="E37" s="702"/>
      <c r="F37" s="702"/>
      <c r="G37" s="702"/>
      <c r="H37" s="702"/>
      <c r="I37" s="702"/>
      <c r="J37" s="703"/>
      <c r="K37" s="432"/>
      <c r="M37" s="8"/>
      <c r="N37" s="7"/>
      <c r="O37" s="7"/>
      <c r="P37" s="7"/>
      <c r="Q37" s="7"/>
      <c r="R37" s="7"/>
      <c r="S37" s="7"/>
      <c r="T37" s="7"/>
    </row>
    <row r="38" spans="1:11" ht="12.75" customHeight="1">
      <c r="A38" s="700" t="s">
        <v>204</v>
      </c>
      <c r="B38" s="700"/>
      <c r="C38" s="700"/>
      <c r="D38" s="700"/>
      <c r="E38" s="700"/>
      <c r="F38" s="700"/>
      <c r="G38" s="700"/>
      <c r="H38" s="700"/>
      <c r="I38" s="700"/>
      <c r="J38" s="700"/>
      <c r="K38" s="700"/>
    </row>
    <row r="39" spans="1:11" ht="12.75" customHeight="1">
      <c r="A39" s="708" t="s">
        <v>564</v>
      </c>
      <c r="B39" s="708"/>
      <c r="D39" s="7"/>
      <c r="E39" s="224"/>
      <c r="F39" s="224"/>
      <c r="G39" s="224"/>
      <c r="H39" s="709"/>
      <c r="I39" s="709"/>
      <c r="J39" s="709"/>
      <c r="K39" s="353"/>
    </row>
    <row r="40" spans="1:11" ht="12.75" customHeight="1">
      <c r="A40" s="710" t="str">
        <f>CONCATENATE('Заявка стр. 1'!B4)</f>
        <v>АО "Научно-производственный центр "Вигстар"</v>
      </c>
      <c r="B40" s="710"/>
      <c r="C40" s="710"/>
      <c r="D40" s="710"/>
      <c r="E40" s="710"/>
      <c r="F40" s="710"/>
      <c r="G40" s="710"/>
      <c r="H40" s="710"/>
      <c r="I40" s="710"/>
      <c r="J40" s="710"/>
      <c r="K40" s="710"/>
    </row>
    <row r="41" spans="1:20" s="144" customFormat="1" ht="12.75">
      <c r="A41" s="704" t="str">
        <f>CONCATENATE('Заявка стр. 1'!B17)</f>
        <v>Заместитель генерального директора по экономике и финансам</v>
      </c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N41" s="143"/>
      <c r="O41" s="143"/>
      <c r="P41" s="143"/>
      <c r="Q41" s="143"/>
      <c r="R41" s="143"/>
      <c r="S41" s="143"/>
      <c r="T41" s="143"/>
    </row>
    <row r="42" spans="1:20" s="144" customFormat="1" ht="12.75">
      <c r="A42" s="706" t="str">
        <f>CONCATENATE('Заявка стр. 1'!A19)</f>
        <v>Короткевич Олег Иосифович</v>
      </c>
      <c r="B42" s="706"/>
      <c r="C42" s="706"/>
      <c r="D42" s="707"/>
      <c r="E42" s="707"/>
      <c r="F42" s="707"/>
      <c r="G42" s="707"/>
      <c r="I42" s="705" t="s">
        <v>260</v>
      </c>
      <c r="J42" s="705"/>
      <c r="K42" s="705"/>
      <c r="N42" s="143"/>
      <c r="O42" s="143"/>
      <c r="P42" s="143"/>
      <c r="Q42" s="143"/>
      <c r="R42" s="143"/>
      <c r="S42" s="143"/>
      <c r="T42" s="143"/>
    </row>
    <row r="43" spans="1:20" s="144" customFormat="1" ht="10.5" customHeight="1">
      <c r="A43" s="43"/>
      <c r="B43" s="43"/>
      <c r="C43" s="313"/>
      <c r="D43" s="290"/>
      <c r="E43" s="290"/>
      <c r="F43" s="366" t="s">
        <v>991</v>
      </c>
      <c r="G43" s="290"/>
      <c r="H43" s="314"/>
      <c r="I43" s="314"/>
      <c r="N43" s="143"/>
      <c r="O43" s="143"/>
      <c r="P43" s="143"/>
      <c r="Q43" s="143"/>
      <c r="R43" s="143"/>
      <c r="S43" s="143"/>
      <c r="T43" s="143"/>
    </row>
    <row r="44" spans="1:20" s="144" customFormat="1" ht="12.75">
      <c r="A44" s="142"/>
      <c r="B44" s="142"/>
      <c r="L44" s="142"/>
      <c r="M44" s="143"/>
      <c r="N44" s="143"/>
      <c r="O44" s="143"/>
      <c r="P44" s="143"/>
      <c r="Q44" s="143"/>
      <c r="R44" s="143"/>
      <c r="S44" s="143"/>
      <c r="T44" s="143"/>
    </row>
    <row r="45" spans="1:20" s="144" customFormat="1" ht="12.75">
      <c r="A45" s="142"/>
      <c r="B45" s="142"/>
      <c r="L45" s="142"/>
      <c r="M45" s="143"/>
      <c r="N45" s="143"/>
      <c r="O45" s="143"/>
      <c r="P45" s="143"/>
      <c r="Q45" s="143"/>
      <c r="R45" s="143"/>
      <c r="S45" s="143"/>
      <c r="T45" s="143"/>
    </row>
    <row r="46" spans="1:20" s="144" customFormat="1" ht="12.75">
      <c r="A46" s="142"/>
      <c r="B46" s="142"/>
      <c r="C46" s="142"/>
      <c r="D46" s="142"/>
      <c r="E46" s="142"/>
      <c r="L46" s="142"/>
      <c r="M46" s="143"/>
      <c r="N46" s="143"/>
      <c r="O46" s="143"/>
      <c r="P46" s="143"/>
      <c r="Q46" s="143"/>
      <c r="R46" s="143"/>
      <c r="S46" s="143"/>
      <c r="T46" s="143"/>
    </row>
    <row r="47" spans="1:20" s="144" customFormat="1" ht="12.75">
      <c r="A47" s="142"/>
      <c r="B47" s="142"/>
      <c r="C47" s="142"/>
      <c r="D47" s="142"/>
      <c r="E47" s="142"/>
      <c r="L47" s="142"/>
      <c r="M47" s="143"/>
      <c r="N47" s="143"/>
      <c r="O47" s="143"/>
      <c r="P47" s="143"/>
      <c r="Q47" s="143"/>
      <c r="R47" s="143"/>
      <c r="S47" s="143"/>
      <c r="T47" s="143"/>
    </row>
    <row r="48" spans="1:20" s="144" customFormat="1" ht="12.75">
      <c r="A48" s="142"/>
      <c r="B48" s="142"/>
      <c r="C48" s="142"/>
      <c r="L48" s="142"/>
      <c r="M48" s="143"/>
      <c r="N48" s="143"/>
      <c r="O48" s="143"/>
      <c r="P48" s="143"/>
      <c r="Q48" s="143"/>
      <c r="R48" s="143"/>
      <c r="S48" s="143"/>
      <c r="T48" s="143"/>
    </row>
    <row r="49" spans="1:11" ht="12.75">
      <c r="A49" s="6"/>
      <c r="B49" s="6"/>
      <c r="C49" s="6"/>
      <c r="D49" s="7"/>
      <c r="E49" s="7"/>
      <c r="F49" s="7"/>
      <c r="G49" s="7"/>
      <c r="H49" s="7"/>
      <c r="I49" s="7"/>
      <c r="J49" s="7"/>
      <c r="K49" s="7"/>
    </row>
    <row r="50" spans="1:11" ht="12.7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</row>
    <row r="51" spans="1:11" ht="12.7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</row>
    <row r="52" spans="1:11" ht="12.7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7" ht="12.75">
      <c r="A105" s="2"/>
      <c r="B105" s="2"/>
      <c r="C105" s="2"/>
      <c r="D105" s="2"/>
      <c r="E105" s="2"/>
      <c r="F105" s="2"/>
      <c r="G105" s="2"/>
    </row>
  </sheetData>
  <sheetProtection selectLockedCells="1"/>
  <mergeCells count="62">
    <mergeCell ref="A35:G35"/>
    <mergeCell ref="I35:J35"/>
    <mergeCell ref="A36:G36"/>
    <mergeCell ref="I36:J36"/>
    <mergeCell ref="A33:G33"/>
    <mergeCell ref="I33:J33"/>
    <mergeCell ref="A34:G34"/>
    <mergeCell ref="I34:J34"/>
    <mergeCell ref="A31:G31"/>
    <mergeCell ref="I31:J31"/>
    <mergeCell ref="I28:J28"/>
    <mergeCell ref="I26:J26"/>
    <mergeCell ref="I27:J27"/>
    <mergeCell ref="A28:G28"/>
    <mergeCell ref="A26:G26"/>
    <mergeCell ref="A27:G27"/>
    <mergeCell ref="I23:J23"/>
    <mergeCell ref="I25:J25"/>
    <mergeCell ref="A32:G32"/>
    <mergeCell ref="I32:J32"/>
    <mergeCell ref="I29:J29"/>
    <mergeCell ref="I30:J30"/>
    <mergeCell ref="A29:G29"/>
    <mergeCell ref="A30:G30"/>
    <mergeCell ref="A23:G23"/>
    <mergeCell ref="A25:G25"/>
    <mergeCell ref="I15:J15"/>
    <mergeCell ref="I16:J16"/>
    <mergeCell ref="I17:J17"/>
    <mergeCell ref="I18:J18"/>
    <mergeCell ref="A22:G22"/>
    <mergeCell ref="I22:J22"/>
    <mergeCell ref="A19:G19"/>
    <mergeCell ref="A20:G20"/>
    <mergeCell ref="D1:I2"/>
    <mergeCell ref="A5:D5"/>
    <mergeCell ref="A7:D7"/>
    <mergeCell ref="A13:J13"/>
    <mergeCell ref="B9:C9"/>
    <mergeCell ref="B11:D11"/>
    <mergeCell ref="A3:K3"/>
    <mergeCell ref="H5:K7"/>
    <mergeCell ref="H9:K9"/>
    <mergeCell ref="H11:K11"/>
    <mergeCell ref="A14:F14"/>
    <mergeCell ref="I14:J14"/>
    <mergeCell ref="A21:G21"/>
    <mergeCell ref="I21:J21"/>
    <mergeCell ref="I19:J19"/>
    <mergeCell ref="I20:J20"/>
    <mergeCell ref="A15:G15"/>
    <mergeCell ref="A16:G16"/>
    <mergeCell ref="A17:G17"/>
    <mergeCell ref="A18:G18"/>
    <mergeCell ref="A38:K38"/>
    <mergeCell ref="A37:J37"/>
    <mergeCell ref="A41:K41"/>
    <mergeCell ref="I42:K42"/>
    <mergeCell ref="A42:G42"/>
    <mergeCell ref="A39:B39"/>
    <mergeCell ref="H39:J39"/>
    <mergeCell ref="A40:K40"/>
  </mergeCells>
  <conditionalFormatting sqref="M11">
    <cfRule type="cellIs" priority="1" dxfId="65" operator="equal" stopIfTrue="1">
      <formula>0</formula>
    </cfRule>
  </conditionalFormatting>
  <conditionalFormatting sqref="B11:D11">
    <cfRule type="cellIs" priority="2" dxfId="66" operator="equal" stopIfTrue="1">
      <formula>0</formula>
    </cfRule>
  </conditionalFormatting>
  <printOptions horizontalCentered="1"/>
  <pageMargins left="0.5905511811023623" right="0.17" top="0.5905511811023623" bottom="0.5905511811023623" header="0.31496062992125984" footer="0.31496062992125984"/>
  <pageSetup horizontalDpi="1200" verticalDpi="1200" orientation="portrait" paperSize="9" r:id="rId4"/>
  <headerFooter alignWithMargins="0">
    <oddHeader>&amp;RСтраница 2 из 2</oddHeader>
  </headerFooter>
  <ignoredErrors>
    <ignoredError sqref="B11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X60"/>
  <sheetViews>
    <sheetView zoomScale="115" zoomScaleNormal="115" zoomScalePageLayoutView="0" workbookViewId="0" topLeftCell="A25">
      <selection activeCell="H19" sqref="H19:J19"/>
    </sheetView>
  </sheetViews>
  <sheetFormatPr defaultColWidth="9.00390625" defaultRowHeight="12.75"/>
  <cols>
    <col min="1" max="1" width="9.125" style="1" customWidth="1"/>
    <col min="2" max="2" width="10.00390625" style="1" customWidth="1"/>
    <col min="3" max="3" width="9.125" style="1" customWidth="1"/>
    <col min="4" max="4" width="0.875" style="1" customWidth="1"/>
    <col min="5" max="5" width="11.625" style="1" customWidth="1"/>
    <col min="6" max="7" width="10.75390625" style="1" customWidth="1"/>
    <col min="8" max="8" width="10.00390625" style="1" customWidth="1"/>
    <col min="9" max="9" width="0.6171875" style="1" customWidth="1"/>
    <col min="10" max="10" width="9.00390625" style="1" customWidth="1"/>
    <col min="11" max="11" width="12.125" style="1" customWidth="1"/>
    <col min="12" max="12" width="5.375" style="7" customWidth="1"/>
    <col min="13" max="20" width="9.125" style="7" customWidth="1"/>
    <col min="21" max="16384" width="9.125" style="1" customWidth="1"/>
  </cols>
  <sheetData>
    <row r="1" spans="1:12" ht="16.5" customHeight="1">
      <c r="A1" s="1012" t="s">
        <v>67</v>
      </c>
      <c r="B1" s="1012"/>
      <c r="C1" s="1012"/>
      <c r="D1" s="1012"/>
      <c r="E1" s="1012"/>
      <c r="F1" s="1092">
        <v>3</v>
      </c>
      <c r="G1" s="1009" t="s">
        <v>678</v>
      </c>
      <c r="H1" s="1009"/>
      <c r="I1" s="1009"/>
      <c r="J1" s="1009"/>
      <c r="K1" s="1009"/>
      <c r="L1" s="1128"/>
    </row>
    <row r="2" spans="1:12" ht="27" customHeight="1">
      <c r="A2" s="1004" t="s">
        <v>696</v>
      </c>
      <c r="B2" s="1004"/>
      <c r="C2" s="1004" t="str">
        <f>'содержание '!C79</f>
        <v>ArmHiTec-2016</v>
      </c>
      <c r="D2" s="1004"/>
      <c r="E2" s="1004"/>
      <c r="F2" s="1092"/>
      <c r="G2" s="1009"/>
      <c r="H2" s="1009"/>
      <c r="I2" s="1009"/>
      <c r="J2" s="1009"/>
      <c r="K2" s="1009"/>
      <c r="L2" s="1128"/>
    </row>
    <row r="3" spans="1:12" ht="15" customHeight="1">
      <c r="A3" s="417" t="s">
        <v>697</v>
      </c>
      <c r="B3" s="207" t="str">
        <f>CONCATENATE('содержание '!C104)</f>
        <v>/AHT</v>
      </c>
      <c r="C3" s="1052" t="s">
        <v>257</v>
      </c>
      <c r="D3" s="1052"/>
      <c r="E3" s="1052"/>
      <c r="F3" s="1093"/>
      <c r="G3" s="1094" t="s">
        <v>985</v>
      </c>
      <c r="H3" s="1094"/>
      <c r="I3" s="208"/>
      <c r="J3" s="1037" t="str">
        <f>CONCATENATE('содержание '!C95)</f>
        <v>14 сентября 2016 г.</v>
      </c>
      <c r="K3" s="1037"/>
      <c r="L3" s="1128"/>
    </row>
    <row r="4" spans="1:22" ht="3.75" customHeight="1">
      <c r="A4" s="31"/>
      <c r="B4" s="34"/>
      <c r="C4" s="152"/>
      <c r="D4" s="152"/>
      <c r="E4" s="152"/>
      <c r="F4" s="152"/>
      <c r="G4" s="177"/>
      <c r="H4" s="149"/>
      <c r="I4" s="149"/>
      <c r="J4" s="149"/>
      <c r="K4" s="149"/>
      <c r="L4" s="1128"/>
      <c r="M4" s="52"/>
      <c r="O4" s="22"/>
      <c r="P4" s="22"/>
      <c r="Q4" s="22"/>
      <c r="U4" s="7"/>
      <c r="V4" s="7"/>
    </row>
    <row r="5" spans="1:22" ht="12" customHeight="1">
      <c r="A5" s="315" t="s">
        <v>121</v>
      </c>
      <c r="B5" s="721" t="s">
        <v>981</v>
      </c>
      <c r="C5" s="721"/>
      <c r="D5" s="168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728"/>
      <c r="I5" s="188"/>
      <c r="J5" s="686" t="s">
        <v>272</v>
      </c>
      <c r="K5" s="291">
        <f>'Заявка стр. 2'!L8</f>
        <v>0</v>
      </c>
      <c r="L5" s="1128"/>
      <c r="N5" s="161"/>
      <c r="U5" s="7"/>
      <c r="V5" s="7"/>
    </row>
    <row r="6" spans="1:14" s="7" customFormat="1" ht="2.25" customHeight="1">
      <c r="A6" s="193"/>
      <c r="B6" s="194"/>
      <c r="C6" s="165"/>
      <c r="D6" s="165"/>
      <c r="E6" s="155"/>
      <c r="F6" s="728"/>
      <c r="G6" s="728"/>
      <c r="H6" s="728"/>
      <c r="I6" s="188"/>
      <c r="J6" s="161"/>
      <c r="K6" s="157"/>
      <c r="L6" s="1128"/>
      <c r="N6" s="161"/>
    </row>
    <row r="7" spans="1:22" ht="12" customHeight="1">
      <c r="A7" s="1112" t="s">
        <v>980</v>
      </c>
      <c r="B7" s="1112"/>
      <c r="C7" s="1112"/>
      <c r="D7" s="1112"/>
      <c r="E7" s="174"/>
      <c r="F7" s="818"/>
      <c r="G7" s="818"/>
      <c r="H7" s="818"/>
      <c r="I7" s="188"/>
      <c r="J7" s="153" t="s">
        <v>713</v>
      </c>
      <c r="K7" s="291">
        <f>'Заявка стр. 2'!L10</f>
        <v>0</v>
      </c>
      <c r="L7" s="1128"/>
      <c r="N7" s="161"/>
      <c r="U7" s="7"/>
      <c r="V7" s="7"/>
    </row>
    <row r="8" spans="1:14" s="7" customFormat="1" ht="2.25" customHeight="1">
      <c r="A8" s="166"/>
      <c r="B8" s="164"/>
      <c r="C8" s="167"/>
      <c r="D8" s="167"/>
      <c r="E8" s="157"/>
      <c r="G8" s="159"/>
      <c r="H8" s="181"/>
      <c r="I8" s="181"/>
      <c r="J8" s="154"/>
      <c r="K8" s="180"/>
      <c r="L8" s="1128"/>
      <c r="N8" s="161"/>
    </row>
    <row r="9" spans="1:22" ht="12" customHeight="1">
      <c r="A9" s="170" t="s">
        <v>982</v>
      </c>
      <c r="B9" s="724" t="s">
        <v>1052</v>
      </c>
      <c r="C9" s="724"/>
      <c r="D9" s="171"/>
      <c r="E9" s="155" t="s">
        <v>977</v>
      </c>
      <c r="F9" s="871" t="str">
        <f>CONCATENATE('Заявка стр. 1'!A25)</f>
        <v>Симонова Наталья Владимировна</v>
      </c>
      <c r="G9" s="871"/>
      <c r="H9" s="871"/>
      <c r="I9" s="70"/>
      <c r="J9" s="153" t="s">
        <v>979</v>
      </c>
      <c r="K9" s="291">
        <f>'Заявка стр. 2'!L12</f>
        <v>0</v>
      </c>
      <c r="L9" s="1128"/>
      <c r="N9" s="161"/>
      <c r="U9" s="7"/>
      <c r="V9" s="7"/>
    </row>
    <row r="10" spans="1:14" s="7" customFormat="1" ht="2.25" customHeight="1">
      <c r="A10" s="166"/>
      <c r="B10" s="164"/>
      <c r="C10" s="164"/>
      <c r="D10" s="164"/>
      <c r="E10" s="160"/>
      <c r="G10" s="174"/>
      <c r="H10" s="182"/>
      <c r="I10" s="182"/>
      <c r="J10" s="154"/>
      <c r="K10" s="180"/>
      <c r="L10" s="1128"/>
      <c r="N10" s="161"/>
    </row>
    <row r="11" spans="1:22" ht="12" customHeight="1">
      <c r="A11" s="170" t="s">
        <v>595</v>
      </c>
      <c r="B11" s="1071" t="s">
        <v>570</v>
      </c>
      <c r="C11" s="1072"/>
      <c r="D11" s="185"/>
      <c r="E11" s="173" t="s">
        <v>978</v>
      </c>
      <c r="F11" s="871" t="str">
        <f>CONCATENATE('Заявка стр. 1'!B27)</f>
        <v>(495) 276-52-71</v>
      </c>
      <c r="G11" s="871"/>
      <c r="H11" s="871"/>
      <c r="I11" s="70"/>
      <c r="J11" s="153"/>
      <c r="K11" s="180"/>
      <c r="L11" s="1128"/>
      <c r="N11" s="161"/>
      <c r="U11" s="7"/>
      <c r="V11" s="7"/>
    </row>
    <row r="12" spans="1:22" ht="4.5" customHeight="1">
      <c r="A12" s="203"/>
      <c r="B12" s="204"/>
      <c r="C12" s="204"/>
      <c r="D12" s="204"/>
      <c r="E12" s="203"/>
      <c r="F12" s="205"/>
      <c r="G12" s="202"/>
      <c r="H12" s="202"/>
      <c r="I12" s="202"/>
      <c r="J12" s="202"/>
      <c r="K12" s="206"/>
      <c r="L12" s="1128"/>
      <c r="M12" s="180"/>
      <c r="N12" s="161"/>
      <c r="O12" s="22"/>
      <c r="P12" s="22"/>
      <c r="Q12" s="70"/>
      <c r="U12" s="7"/>
      <c r="V12" s="7"/>
    </row>
    <row r="13" spans="1:12" s="7" customFormat="1" ht="27" customHeight="1">
      <c r="A13" s="1004" t="s">
        <v>925</v>
      </c>
      <c r="B13" s="1004"/>
      <c r="C13" s="1004"/>
      <c r="D13" s="1004"/>
      <c r="E13" s="1004"/>
      <c r="F13" s="1004"/>
      <c r="G13" s="1004"/>
      <c r="H13" s="1004"/>
      <c r="I13" s="1004"/>
      <c r="J13" s="1004"/>
      <c r="K13" s="1004"/>
      <c r="L13" s="1128"/>
    </row>
    <row r="14" spans="1:12" s="7" customFormat="1" ht="13.5" customHeight="1">
      <c r="A14" s="1041" t="s">
        <v>571</v>
      </c>
      <c r="B14" s="1041"/>
      <c r="C14" s="1041"/>
      <c r="D14" s="36"/>
      <c r="E14" s="1117" t="str">
        <f>'содержание '!C87</f>
        <v>с 13 по 15 октября 2016 г.</v>
      </c>
      <c r="F14" s="1041"/>
      <c r="G14" s="1041"/>
      <c r="H14" s="1041"/>
      <c r="I14" s="1041"/>
      <c r="J14" s="1041"/>
      <c r="K14" s="1041"/>
      <c r="L14" s="1128"/>
    </row>
    <row r="15" spans="1:12" s="7" customFormat="1" ht="16.5" customHeight="1">
      <c r="A15" s="1004" t="s">
        <v>1083</v>
      </c>
      <c r="B15" s="1004"/>
      <c r="C15" s="1004"/>
      <c r="D15" s="1004"/>
      <c r="E15" s="1004"/>
      <c r="F15" s="1004"/>
      <c r="G15" s="1004"/>
      <c r="H15" s="1004"/>
      <c r="I15" s="1004"/>
      <c r="J15" s="1004"/>
      <c r="K15" s="1004"/>
      <c r="L15" s="1128"/>
    </row>
    <row r="16" spans="1:12" s="7" customFormat="1" ht="9.75" customHeight="1">
      <c r="A16" s="1116" t="s">
        <v>1001</v>
      </c>
      <c r="B16" s="1116"/>
      <c r="C16" s="1116"/>
      <c r="D16" s="1116"/>
      <c r="E16" s="1116"/>
      <c r="F16" s="1116"/>
      <c r="G16" s="1116"/>
      <c r="H16" s="1116"/>
      <c r="I16" s="1116"/>
      <c r="J16" s="1116"/>
      <c r="K16" s="1116"/>
      <c r="L16" s="1128"/>
    </row>
    <row r="17" spans="1:21" ht="25.5" customHeight="1">
      <c r="A17" s="1110" t="s">
        <v>998</v>
      </c>
      <c r="B17" s="1110"/>
      <c r="C17" s="1110"/>
      <c r="D17" s="1110"/>
      <c r="E17" s="1110"/>
      <c r="F17" s="197" t="s">
        <v>98</v>
      </c>
      <c r="G17" s="197" t="s">
        <v>249</v>
      </c>
      <c r="H17" s="847" t="s">
        <v>705</v>
      </c>
      <c r="I17" s="847"/>
      <c r="J17" s="847"/>
      <c r="K17" s="197" t="s">
        <v>87</v>
      </c>
      <c r="L17" s="1128"/>
      <c r="M17" s="41"/>
      <c r="N17" s="41"/>
      <c r="O17" s="41"/>
      <c r="P17" s="41"/>
      <c r="Q17" s="94"/>
      <c r="R17" s="41"/>
      <c r="S17" s="41"/>
      <c r="T17" s="41"/>
      <c r="U17" s="3"/>
    </row>
    <row r="18" spans="1:21" ht="15.75">
      <c r="A18" s="1111" t="s">
        <v>38</v>
      </c>
      <c r="B18" s="1111"/>
      <c r="C18" s="1111"/>
      <c r="D18" s="1111"/>
      <c r="E18" s="1111"/>
      <c r="F18" s="495">
        <f>135*49</f>
        <v>6615</v>
      </c>
      <c r="G18" s="496">
        <v>0</v>
      </c>
      <c r="H18" s="1120">
        <v>0</v>
      </c>
      <c r="I18" s="1120"/>
      <c r="J18" s="1120"/>
      <c r="K18" s="497">
        <f>F18*G18*H18</f>
        <v>0</v>
      </c>
      <c r="L18" s="1128"/>
      <c r="M18" s="41"/>
      <c r="N18" s="96"/>
      <c r="O18" s="96"/>
      <c r="P18" s="96"/>
      <c r="Q18" s="96"/>
      <c r="R18" s="41"/>
      <c r="S18" s="41"/>
      <c r="T18" s="41"/>
      <c r="U18" s="3"/>
    </row>
    <row r="19" spans="1:21" ht="15.75">
      <c r="A19" s="1119" t="s">
        <v>999</v>
      </c>
      <c r="B19" s="1119"/>
      <c r="C19" s="1119"/>
      <c r="D19" s="1119"/>
      <c r="E19" s="1119"/>
      <c r="F19" s="498">
        <f>269*49</f>
        <v>13181</v>
      </c>
      <c r="G19" s="499">
        <v>0</v>
      </c>
      <c r="H19" s="1118">
        <v>0</v>
      </c>
      <c r="I19" s="1118"/>
      <c r="J19" s="1118"/>
      <c r="K19" s="497">
        <f>F19*G19*H19</f>
        <v>0</v>
      </c>
      <c r="L19" s="1128"/>
      <c r="M19" s="41"/>
      <c r="N19" s="21"/>
      <c r="O19" s="21"/>
      <c r="P19" s="21"/>
      <c r="Q19" s="94"/>
      <c r="R19" s="41"/>
      <c r="S19" s="41"/>
      <c r="T19" s="41"/>
      <c r="U19" s="3"/>
    </row>
    <row r="20" spans="1:12" s="7" customFormat="1" ht="15" customHeight="1">
      <c r="A20" s="1058" t="s">
        <v>1015</v>
      </c>
      <c r="B20" s="1058"/>
      <c r="C20" s="1058"/>
      <c r="D20" s="1058"/>
      <c r="E20" s="1058"/>
      <c r="F20" s="1058"/>
      <c r="G20" s="1058"/>
      <c r="H20" s="1058"/>
      <c r="I20" s="1058"/>
      <c r="J20" s="1058"/>
      <c r="K20" s="1058"/>
      <c r="L20" s="1128"/>
    </row>
    <row r="21" spans="1:12" s="7" customFormat="1" ht="16.5" customHeight="1">
      <c r="A21" s="1004" t="s">
        <v>677</v>
      </c>
      <c r="B21" s="1004"/>
      <c r="C21" s="1004"/>
      <c r="D21" s="1004"/>
      <c r="E21" s="1004"/>
      <c r="F21" s="1004"/>
      <c r="G21" s="1004"/>
      <c r="H21" s="1004"/>
      <c r="I21" s="1004"/>
      <c r="J21" s="1004"/>
      <c r="K21" s="1004"/>
      <c r="L21" s="1128"/>
    </row>
    <row r="22" spans="1:21" ht="23.25" customHeight="1">
      <c r="A22" s="1110" t="s">
        <v>578</v>
      </c>
      <c r="B22" s="1110"/>
      <c r="C22" s="1110"/>
      <c r="D22" s="1110"/>
      <c r="E22" s="1110"/>
      <c r="F22" s="1121" t="s">
        <v>99</v>
      </c>
      <c r="G22" s="1122"/>
      <c r="H22" s="1122"/>
      <c r="I22" s="1122"/>
      <c r="J22" s="1123"/>
      <c r="K22" s="197" t="s">
        <v>87</v>
      </c>
      <c r="L22" s="1128"/>
      <c r="M22" s="41"/>
      <c r="N22" s="41"/>
      <c r="O22" s="41"/>
      <c r="P22" s="41"/>
      <c r="Q22" s="94"/>
      <c r="R22" s="41"/>
      <c r="S22" s="41"/>
      <c r="T22" s="41"/>
      <c r="U22" s="3"/>
    </row>
    <row r="23" spans="1:21" ht="15.75">
      <c r="A23" s="1111" t="s">
        <v>1079</v>
      </c>
      <c r="B23" s="1111"/>
      <c r="C23" s="1111"/>
      <c r="D23" s="1111"/>
      <c r="E23" s="1111"/>
      <c r="F23" s="1107">
        <f>867*49</f>
        <v>42483</v>
      </c>
      <c r="G23" s="1108"/>
      <c r="H23" s="1108"/>
      <c r="I23" s="1108"/>
      <c r="J23" s="1109"/>
      <c r="K23" s="616">
        <v>0</v>
      </c>
      <c r="L23" s="1128"/>
      <c r="M23" s="41"/>
      <c r="N23" s="96"/>
      <c r="O23" s="96"/>
      <c r="P23" s="96"/>
      <c r="Q23" s="96"/>
      <c r="R23" s="41"/>
      <c r="S23" s="41"/>
      <c r="T23" s="41"/>
      <c r="U23" s="3"/>
    </row>
    <row r="24" spans="1:12" s="7" customFormat="1" ht="15" customHeight="1">
      <c r="A24" s="1058" t="s">
        <v>580</v>
      </c>
      <c r="B24" s="1058"/>
      <c r="C24" s="1058"/>
      <c r="D24" s="1058"/>
      <c r="E24" s="1058"/>
      <c r="F24" s="1058"/>
      <c r="G24" s="1058"/>
      <c r="H24" s="1058"/>
      <c r="I24" s="1058"/>
      <c r="J24" s="1058"/>
      <c r="K24" s="1058"/>
      <c r="L24" s="1128"/>
    </row>
    <row r="25" spans="1:21" s="7" customFormat="1" ht="15.75" customHeight="1">
      <c r="A25" s="1062" t="s">
        <v>577</v>
      </c>
      <c r="B25" s="1062"/>
      <c r="C25" s="1062"/>
      <c r="D25" s="1062"/>
      <c r="E25" s="1062"/>
      <c r="F25" s="1062"/>
      <c r="G25" s="1062"/>
      <c r="H25" s="1062"/>
      <c r="I25" s="1062"/>
      <c r="J25" s="1062"/>
      <c r="K25" s="1062"/>
      <c r="L25" s="1128"/>
      <c r="M25" s="22"/>
      <c r="N25" s="21"/>
      <c r="O25" s="21"/>
      <c r="P25" s="21"/>
      <c r="Q25" s="94"/>
      <c r="R25" s="43"/>
      <c r="S25" s="43"/>
      <c r="T25" s="43"/>
      <c r="U25" s="22"/>
    </row>
    <row r="26" spans="1:16" ht="24" customHeight="1">
      <c r="A26" s="1110" t="s">
        <v>540</v>
      </c>
      <c r="B26" s="1110"/>
      <c r="C26" s="1110"/>
      <c r="D26" s="1110"/>
      <c r="E26" s="1110"/>
      <c r="F26" s="197" t="s">
        <v>100</v>
      </c>
      <c r="G26" s="197" t="s">
        <v>37</v>
      </c>
      <c r="H26" s="847" t="s">
        <v>400</v>
      </c>
      <c r="I26" s="847"/>
      <c r="J26" s="847"/>
      <c r="K26" s="197" t="s">
        <v>87</v>
      </c>
      <c r="L26" s="1128"/>
      <c r="O26" s="95"/>
      <c r="P26" s="94"/>
    </row>
    <row r="27" spans="1:21" ht="24" customHeight="1">
      <c r="A27" s="1124" t="s">
        <v>229</v>
      </c>
      <c r="B27" s="1124"/>
      <c r="C27" s="1124"/>
      <c r="D27" s="1124"/>
      <c r="E27" s="1124"/>
      <c r="F27" s="495">
        <f>3*49</f>
        <v>147</v>
      </c>
      <c r="G27" s="496">
        <v>4</v>
      </c>
      <c r="H27" s="1125">
        <v>0</v>
      </c>
      <c r="I27" s="1125"/>
      <c r="J27" s="1125"/>
      <c r="K27" s="497">
        <f>F27*H27*G27</f>
        <v>0</v>
      </c>
      <c r="L27" s="1128"/>
      <c r="M27" s="41"/>
      <c r="N27" s="41"/>
      <c r="O27" s="96"/>
      <c r="P27" s="96"/>
      <c r="Q27" s="21"/>
      <c r="R27" s="21"/>
      <c r="S27" s="21"/>
      <c r="T27" s="21"/>
      <c r="U27" s="3"/>
    </row>
    <row r="28" spans="1:21" ht="24" customHeight="1">
      <c r="A28" s="1078" t="s">
        <v>228</v>
      </c>
      <c r="B28" s="1078"/>
      <c r="C28" s="1078"/>
      <c r="D28" s="1078"/>
      <c r="E28" s="1078"/>
      <c r="F28" s="498">
        <f>4*49</f>
        <v>196</v>
      </c>
      <c r="G28" s="499">
        <v>4</v>
      </c>
      <c r="H28" s="1115">
        <v>0</v>
      </c>
      <c r="I28" s="1115"/>
      <c r="J28" s="1115"/>
      <c r="K28" s="497">
        <f>F28*H28</f>
        <v>0</v>
      </c>
      <c r="L28" s="1128"/>
      <c r="M28" s="41"/>
      <c r="N28" s="41"/>
      <c r="O28" s="96"/>
      <c r="P28" s="96"/>
      <c r="Q28" s="21"/>
      <c r="R28" s="21"/>
      <c r="S28" s="21"/>
      <c r="T28" s="21"/>
      <c r="U28" s="3"/>
    </row>
    <row r="29" spans="1:21" s="23" customFormat="1" ht="24.75" customHeight="1">
      <c r="A29" s="1083" t="s">
        <v>231</v>
      </c>
      <c r="B29" s="1083"/>
      <c r="C29" s="1083"/>
      <c r="D29" s="1083"/>
      <c r="E29" s="1083"/>
      <c r="F29" s="1083"/>
      <c r="G29" s="1083"/>
      <c r="H29" s="1083"/>
      <c r="I29" s="1083"/>
      <c r="J29" s="1083"/>
      <c r="K29" s="1083"/>
      <c r="L29" s="1128"/>
      <c r="M29" s="39"/>
      <c r="N29" s="39"/>
      <c r="O29" s="39"/>
      <c r="P29" s="39"/>
      <c r="Q29" s="39"/>
      <c r="R29" s="39"/>
      <c r="S29" s="39"/>
      <c r="T29" s="39"/>
      <c r="U29" s="39"/>
    </row>
    <row r="30" spans="5:21" s="22" customFormat="1" ht="2.25" customHeight="1">
      <c r="E30" s="99"/>
      <c r="F30" s="46"/>
      <c r="G30" s="46"/>
      <c r="H30" s="101"/>
      <c r="I30" s="101"/>
      <c r="J30" s="101"/>
      <c r="K30" s="100"/>
      <c r="L30" s="1128"/>
      <c r="M30" s="41"/>
      <c r="N30" s="41"/>
      <c r="O30" s="96"/>
      <c r="P30" s="96"/>
      <c r="Q30" s="21"/>
      <c r="R30" s="21"/>
      <c r="S30" s="21"/>
      <c r="T30" s="21"/>
      <c r="U30" s="41"/>
    </row>
    <row r="31" spans="5:21" s="7" customFormat="1" ht="15.75">
      <c r="E31" s="1069" t="s">
        <v>101</v>
      </c>
      <c r="F31" s="1069"/>
      <c r="G31" s="1069"/>
      <c r="H31" s="1069"/>
      <c r="I31" s="1069"/>
      <c r="J31" s="1129"/>
      <c r="K31" s="665">
        <f>SUM(K18:K19,K23,K27:K28)</f>
        <v>0</v>
      </c>
      <c r="L31" s="1128"/>
      <c r="M31" s="43"/>
      <c r="N31" s="43"/>
      <c r="O31" s="97"/>
      <c r="P31" s="94"/>
      <c r="Q31" s="21"/>
      <c r="R31" s="45"/>
      <c r="S31" s="21"/>
      <c r="T31" s="21"/>
      <c r="U31" s="41"/>
    </row>
    <row r="32" spans="5:21" s="7" customFormat="1" ht="15.75">
      <c r="E32" s="1069" t="s">
        <v>102</v>
      </c>
      <c r="F32" s="1069"/>
      <c r="G32" s="1069"/>
      <c r="H32" s="1069"/>
      <c r="I32" s="1069"/>
      <c r="J32" s="1129"/>
      <c r="K32" s="665">
        <f>K31*0.18</f>
        <v>0</v>
      </c>
      <c r="L32" s="1128"/>
      <c r="M32" s="43"/>
      <c r="N32" s="43"/>
      <c r="O32" s="95"/>
      <c r="P32" s="94"/>
      <c r="Q32" s="21"/>
      <c r="R32" s="45"/>
      <c r="S32" s="21"/>
      <c r="T32" s="21"/>
      <c r="U32" s="41"/>
    </row>
    <row r="33" spans="5:21" s="7" customFormat="1" ht="15.75">
      <c r="E33" s="1069" t="s">
        <v>82</v>
      </c>
      <c r="F33" s="1069"/>
      <c r="G33" s="1069"/>
      <c r="H33" s="1069"/>
      <c r="I33" s="1069"/>
      <c r="J33" s="1129"/>
      <c r="K33" s="666">
        <f>K31+K32</f>
        <v>0</v>
      </c>
      <c r="L33" s="1128"/>
      <c r="M33" s="43"/>
      <c r="N33" s="43"/>
      <c r="O33" s="97"/>
      <c r="P33" s="94"/>
      <c r="Q33" s="21"/>
      <c r="R33" s="21"/>
      <c r="S33" s="21"/>
      <c r="T33" s="21"/>
      <c r="U33" s="41"/>
    </row>
    <row r="34" spans="1:12" ht="51.75" customHeight="1">
      <c r="A34" s="1113" t="s">
        <v>744</v>
      </c>
      <c r="B34" s="1113"/>
      <c r="C34" s="1113"/>
      <c r="D34" s="1113"/>
      <c r="E34" s="1113"/>
      <c r="F34" s="1113"/>
      <c r="G34" s="1113"/>
      <c r="H34" s="1113"/>
      <c r="I34" s="1113"/>
      <c r="J34" s="1113"/>
      <c r="K34" s="1113"/>
      <c r="L34" s="1128"/>
    </row>
    <row r="35" spans="1:12" ht="29.25" customHeight="1">
      <c r="A35" s="1113" t="s">
        <v>743</v>
      </c>
      <c r="B35" s="1113"/>
      <c r="C35" s="1113"/>
      <c r="D35" s="1113"/>
      <c r="E35" s="1113"/>
      <c r="F35" s="1113"/>
      <c r="G35" s="1113"/>
      <c r="H35" s="1113"/>
      <c r="I35" s="1113"/>
      <c r="J35" s="1113"/>
      <c r="K35" s="1113"/>
      <c r="L35" s="1128"/>
    </row>
    <row r="36" spans="1:12" ht="3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128"/>
    </row>
    <row r="37" spans="1:12" ht="12.75">
      <c r="A37" s="7" t="s">
        <v>219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1128"/>
    </row>
    <row r="38" spans="1:12" ht="15" customHeight="1">
      <c r="A38" s="984" t="s">
        <v>319</v>
      </c>
      <c r="B38" s="984"/>
      <c r="C38" s="984"/>
      <c r="D38" s="984"/>
      <c r="E38" s="984"/>
      <c r="F38" s="47" t="s">
        <v>564</v>
      </c>
      <c r="G38" s="1014" t="str">
        <f>CONCATENATE('Заявка стр. 1'!B4)</f>
        <v>АО "Научно-производственный центр "Вигстар"</v>
      </c>
      <c r="H38" s="1014"/>
      <c r="I38" s="1014"/>
      <c r="J38" s="1014"/>
      <c r="K38" s="1014"/>
      <c r="L38" s="1128"/>
    </row>
    <row r="39" spans="1:12" ht="12.75" customHeight="1">
      <c r="A39" s="989" t="s">
        <v>1091</v>
      </c>
      <c r="B39" s="990"/>
      <c r="C39" s="990"/>
      <c r="D39" s="990"/>
      <c r="E39" s="990"/>
      <c r="F39" s="47"/>
      <c r="G39" s="704" t="str">
        <f>CONCATENATE('Заявка стр. 1'!B17)</f>
        <v>Заместитель генерального директора по экономике и финансам</v>
      </c>
      <c r="H39" s="704"/>
      <c r="I39" s="704"/>
      <c r="J39" s="704"/>
      <c r="K39" s="704"/>
      <c r="L39" s="1128"/>
    </row>
    <row r="40" spans="1:12" ht="14.25" customHeight="1">
      <c r="A40" s="1126" t="s">
        <v>729</v>
      </c>
      <c r="B40" s="1126"/>
      <c r="C40" s="1126"/>
      <c r="D40" s="1126"/>
      <c r="E40" s="1126"/>
      <c r="F40" s="44"/>
      <c r="G40" s="1127">
        <f>CONCATENATE('Заявка стр. 1'!A18)</f>
      </c>
      <c r="H40" s="1127"/>
      <c r="I40" s="1127"/>
      <c r="J40" s="1127"/>
      <c r="K40" s="1127"/>
      <c r="L40" s="1128"/>
    </row>
    <row r="41" spans="1:12" ht="14.25" customHeight="1">
      <c r="A41" s="1114"/>
      <c r="B41" s="1114"/>
      <c r="C41" s="1114"/>
      <c r="D41" s="1114"/>
      <c r="E41" s="1114"/>
      <c r="F41" s="44"/>
      <c r="G41" s="988" t="str">
        <f>CONCATENATE('Заявка стр. 1'!A19)</f>
        <v>Короткевич Олег Иосифович</v>
      </c>
      <c r="H41" s="988"/>
      <c r="I41" s="988"/>
      <c r="J41" s="988"/>
      <c r="K41" s="988"/>
      <c r="L41" s="1128"/>
    </row>
    <row r="42" spans="1:12" ht="19.5" customHeight="1">
      <c r="A42" s="1081" t="s">
        <v>562</v>
      </c>
      <c r="B42" s="1081"/>
      <c r="C42" s="1081"/>
      <c r="D42" s="1081"/>
      <c r="E42" s="1081"/>
      <c r="F42" s="44"/>
      <c r="G42" s="1082" t="s">
        <v>414</v>
      </c>
      <c r="H42" s="1082"/>
      <c r="I42" s="1082"/>
      <c r="J42" s="1082"/>
      <c r="K42" s="1082"/>
      <c r="L42" s="1128"/>
    </row>
    <row r="43" spans="1:12" ht="19.5" customHeight="1">
      <c r="A43" s="982" t="s">
        <v>747</v>
      </c>
      <c r="B43" s="982"/>
      <c r="C43" s="982"/>
      <c r="D43" s="982"/>
      <c r="E43" s="982"/>
      <c r="F43" s="5"/>
      <c r="G43" s="820" t="s">
        <v>747</v>
      </c>
      <c r="H43" s="820"/>
      <c r="I43" s="820"/>
      <c r="J43" s="820"/>
      <c r="K43" s="820"/>
      <c r="L43" s="1128"/>
    </row>
    <row r="44" spans="1:11" ht="12.75">
      <c r="A44" s="7"/>
      <c r="B44" s="7"/>
      <c r="C44" s="7"/>
      <c r="D44" s="7"/>
      <c r="E44" s="40"/>
      <c r="F44" s="40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40"/>
      <c r="F45" s="105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1:24" s="7" customFormat="1" ht="12.75">
      <c r="U52" s="1"/>
      <c r="V52" s="1"/>
      <c r="W52" s="1"/>
      <c r="X52" s="1"/>
    </row>
    <row r="53" spans="21:24" s="7" customFormat="1" ht="12.75">
      <c r="U53" s="1"/>
      <c r="V53" s="1"/>
      <c r="W53" s="1"/>
      <c r="X53" s="1"/>
    </row>
    <row r="54" spans="21:24" s="7" customFormat="1" ht="12.75">
      <c r="U54" s="1"/>
      <c r="V54" s="1"/>
      <c r="W54" s="1"/>
      <c r="X54" s="1"/>
    </row>
    <row r="55" spans="21:24" s="7" customFormat="1" ht="12.75">
      <c r="U55" s="1"/>
      <c r="V55" s="1"/>
      <c r="W55" s="1"/>
      <c r="X55" s="1"/>
    </row>
    <row r="56" spans="21:24" s="7" customFormat="1" ht="12.75">
      <c r="U56" s="1"/>
      <c r="V56" s="1"/>
      <c r="W56" s="1"/>
      <c r="X56" s="1"/>
    </row>
    <row r="57" spans="21:24" s="7" customFormat="1" ht="12.75">
      <c r="U57" s="1"/>
      <c r="V57" s="1"/>
      <c r="W57" s="1"/>
      <c r="X57" s="1"/>
    </row>
    <row r="58" spans="21:24" s="7" customFormat="1" ht="12.75">
      <c r="U58" s="1"/>
      <c r="V58" s="1"/>
      <c r="W58" s="1"/>
      <c r="X58" s="1"/>
    </row>
    <row r="59" spans="21:24" s="7" customFormat="1" ht="12.75">
      <c r="U59" s="1"/>
      <c r="V59" s="1"/>
      <c r="W59" s="1"/>
      <c r="X59" s="1"/>
    </row>
    <row r="60" spans="21:24" s="7" customFormat="1" ht="12.75">
      <c r="U60" s="1"/>
      <c r="V60" s="1"/>
      <c r="W60" s="1"/>
      <c r="X60" s="1"/>
    </row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</sheetData>
  <sheetProtection password="CC03" sheet="1" selectLockedCells="1"/>
  <mergeCells count="59">
    <mergeCell ref="L1:L43"/>
    <mergeCell ref="G43:K43"/>
    <mergeCell ref="G41:K41"/>
    <mergeCell ref="E31:J31"/>
    <mergeCell ref="E32:J32"/>
    <mergeCell ref="E33:J33"/>
    <mergeCell ref="A24:K24"/>
    <mergeCell ref="G39:K39"/>
    <mergeCell ref="G38:K38"/>
    <mergeCell ref="A43:E43"/>
    <mergeCell ref="G42:K42"/>
    <mergeCell ref="H26:J26"/>
    <mergeCell ref="A27:E27"/>
    <mergeCell ref="H27:J27"/>
    <mergeCell ref="A26:E26"/>
    <mergeCell ref="A40:E40"/>
    <mergeCell ref="G40:K40"/>
    <mergeCell ref="A38:E38"/>
    <mergeCell ref="A35:K35"/>
    <mergeCell ref="A15:K15"/>
    <mergeCell ref="A25:K25"/>
    <mergeCell ref="A17:E17"/>
    <mergeCell ref="H19:J19"/>
    <mergeCell ref="A18:E18"/>
    <mergeCell ref="A19:E19"/>
    <mergeCell ref="H18:J18"/>
    <mergeCell ref="H17:J17"/>
    <mergeCell ref="A21:K21"/>
    <mergeCell ref="F22:J22"/>
    <mergeCell ref="A13:K13"/>
    <mergeCell ref="A14:C14"/>
    <mergeCell ref="E14:K14"/>
    <mergeCell ref="G1:K2"/>
    <mergeCell ref="G3:H3"/>
    <mergeCell ref="J3:K3"/>
    <mergeCell ref="F1:F3"/>
    <mergeCell ref="A1:E1"/>
    <mergeCell ref="A2:B2"/>
    <mergeCell ref="C2:E2"/>
    <mergeCell ref="C3:E3"/>
    <mergeCell ref="A39:E39"/>
    <mergeCell ref="A34:K34"/>
    <mergeCell ref="A42:E42"/>
    <mergeCell ref="A41:E41"/>
    <mergeCell ref="H28:J28"/>
    <mergeCell ref="A29:K29"/>
    <mergeCell ref="A28:E28"/>
    <mergeCell ref="A16:K16"/>
    <mergeCell ref="A20:K20"/>
    <mergeCell ref="F23:J23"/>
    <mergeCell ref="A22:E22"/>
    <mergeCell ref="A23:E23"/>
    <mergeCell ref="A7:D7"/>
    <mergeCell ref="F5:H7"/>
    <mergeCell ref="B11:C11"/>
    <mergeCell ref="F11:H11"/>
    <mergeCell ref="F9:H9"/>
    <mergeCell ref="B5:C5"/>
    <mergeCell ref="B9:C9"/>
  </mergeCells>
  <conditionalFormatting sqref="K5 K7 K9 K11">
    <cfRule type="cellIs" priority="1" dxfId="65" operator="equal" stopIfTrue="1">
      <formula>0</formula>
    </cfRule>
  </conditionalFormatting>
  <hyperlinks>
    <hyperlink ref="B11" r:id="rId1" display="montage@b95.ru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1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X70"/>
  <sheetViews>
    <sheetView zoomScale="115" zoomScaleNormal="115" zoomScalePageLayoutView="0" workbookViewId="0" topLeftCell="A28">
      <selection activeCell="G31" sqref="G31"/>
    </sheetView>
  </sheetViews>
  <sheetFormatPr defaultColWidth="9.00390625" defaultRowHeight="12.75"/>
  <cols>
    <col min="1" max="1" width="9.125" style="1" customWidth="1"/>
    <col min="2" max="2" width="10.00390625" style="1" customWidth="1"/>
    <col min="3" max="3" width="9.125" style="1" customWidth="1"/>
    <col min="4" max="4" width="0.875" style="1" customWidth="1"/>
    <col min="5" max="5" width="11.625" style="1" customWidth="1"/>
    <col min="6" max="7" width="10.75390625" style="1" customWidth="1"/>
    <col min="8" max="8" width="10.00390625" style="1" customWidth="1"/>
    <col min="9" max="9" width="0.6171875" style="1" customWidth="1"/>
    <col min="10" max="10" width="9.00390625" style="1" customWidth="1"/>
    <col min="11" max="11" width="12.125" style="1" customWidth="1"/>
    <col min="12" max="12" width="6.375" style="7" customWidth="1"/>
    <col min="13" max="20" width="9.125" style="7" customWidth="1"/>
    <col min="21" max="16384" width="9.125" style="1" customWidth="1"/>
  </cols>
  <sheetData>
    <row r="1" spans="1:12" ht="16.5" customHeight="1">
      <c r="A1" s="1012" t="s">
        <v>690</v>
      </c>
      <c r="B1" s="1012"/>
      <c r="C1" s="1012"/>
      <c r="D1" s="1012"/>
      <c r="E1" s="1012"/>
      <c r="F1" s="1092">
        <v>4</v>
      </c>
      <c r="G1" s="1009" t="s">
        <v>133</v>
      </c>
      <c r="H1" s="1009"/>
      <c r="I1" s="1009"/>
      <c r="J1" s="1009"/>
      <c r="K1" s="1009"/>
      <c r="L1" s="1104"/>
    </row>
    <row r="2" spans="1:12" ht="27" customHeight="1">
      <c r="A2" s="1004" t="s">
        <v>696</v>
      </c>
      <c r="B2" s="1004"/>
      <c r="C2" s="1004" t="str">
        <f>'содержание '!C79</f>
        <v>ArmHiTec-2016</v>
      </c>
      <c r="D2" s="1004"/>
      <c r="E2" s="1004"/>
      <c r="F2" s="1092"/>
      <c r="G2" s="1009"/>
      <c r="H2" s="1009"/>
      <c r="I2" s="1009"/>
      <c r="J2" s="1009"/>
      <c r="K2" s="1009"/>
      <c r="L2" s="1104"/>
    </row>
    <row r="3" spans="1:12" ht="15" customHeight="1">
      <c r="A3" s="417" t="s">
        <v>697</v>
      </c>
      <c r="B3" s="207" t="str">
        <f>CONCATENATE('содержание '!C104)</f>
        <v>/AHT</v>
      </c>
      <c r="C3" s="1052" t="s">
        <v>257</v>
      </c>
      <c r="D3" s="1052"/>
      <c r="E3" s="1052"/>
      <c r="F3" s="1093"/>
      <c r="G3" s="1094" t="s">
        <v>985</v>
      </c>
      <c r="H3" s="1094"/>
      <c r="I3" s="208"/>
      <c r="J3" s="1037" t="str">
        <f>CONCATENATE('содержание '!C95)</f>
        <v>14 сентября 2016 г.</v>
      </c>
      <c r="K3" s="1037"/>
      <c r="L3" s="1104"/>
    </row>
    <row r="4" spans="1:22" ht="1.5" customHeight="1">
      <c r="A4" s="31"/>
      <c r="B4" s="34"/>
      <c r="C4" s="152"/>
      <c r="D4" s="152"/>
      <c r="E4" s="152"/>
      <c r="F4" s="152"/>
      <c r="G4" s="177"/>
      <c r="H4" s="149"/>
      <c r="I4" s="149"/>
      <c r="J4" s="149"/>
      <c r="K4" s="149"/>
      <c r="L4" s="1104"/>
      <c r="M4" s="52"/>
      <c r="O4" s="22"/>
      <c r="P4" s="22"/>
      <c r="Q4" s="22"/>
      <c r="U4" s="7"/>
      <c r="V4" s="7"/>
    </row>
    <row r="5" spans="1:22" ht="12" customHeight="1">
      <c r="A5" s="315" t="s">
        <v>121</v>
      </c>
      <c r="B5" s="721" t="s">
        <v>981</v>
      </c>
      <c r="C5" s="721"/>
      <c r="D5" s="168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728"/>
      <c r="I5" s="188"/>
      <c r="J5" s="686" t="s">
        <v>272</v>
      </c>
      <c r="K5" s="291">
        <f>'Заявка стр. 2'!L8</f>
        <v>0</v>
      </c>
      <c r="L5" s="1104"/>
      <c r="N5" s="161"/>
      <c r="U5" s="7"/>
      <c r="V5" s="7"/>
    </row>
    <row r="6" spans="1:14" s="7" customFormat="1" ht="2.25" customHeight="1">
      <c r="A6" s="193"/>
      <c r="B6" s="194"/>
      <c r="C6" s="165"/>
      <c r="D6" s="165"/>
      <c r="E6" s="155"/>
      <c r="F6" s="728"/>
      <c r="G6" s="728"/>
      <c r="H6" s="728"/>
      <c r="I6" s="188"/>
      <c r="J6" s="161"/>
      <c r="K6" s="157"/>
      <c r="L6" s="1104"/>
      <c r="N6" s="161"/>
    </row>
    <row r="7" spans="1:22" ht="12" customHeight="1">
      <c r="A7" s="1112" t="s">
        <v>980</v>
      </c>
      <c r="B7" s="1112"/>
      <c r="C7" s="1112"/>
      <c r="D7" s="1112"/>
      <c r="E7" s="174"/>
      <c r="F7" s="818"/>
      <c r="G7" s="818"/>
      <c r="H7" s="818"/>
      <c r="I7" s="188"/>
      <c r="J7" s="153" t="s">
        <v>713</v>
      </c>
      <c r="K7" s="291">
        <f>'Заявка стр. 2'!L10</f>
        <v>0</v>
      </c>
      <c r="L7" s="1104"/>
      <c r="N7" s="161"/>
      <c r="U7" s="7"/>
      <c r="V7" s="7"/>
    </row>
    <row r="8" spans="1:14" s="7" customFormat="1" ht="2.25" customHeight="1">
      <c r="A8" s="166"/>
      <c r="B8" s="164"/>
      <c r="C8" s="167"/>
      <c r="D8" s="167"/>
      <c r="E8" s="157"/>
      <c r="G8" s="159"/>
      <c r="H8" s="181"/>
      <c r="I8" s="181"/>
      <c r="J8" s="154"/>
      <c r="K8" s="180"/>
      <c r="L8" s="1104"/>
      <c r="N8" s="161"/>
    </row>
    <row r="9" spans="1:22" ht="12" customHeight="1">
      <c r="A9" s="170" t="s">
        <v>982</v>
      </c>
      <c r="B9" s="724" t="s">
        <v>1051</v>
      </c>
      <c r="C9" s="724"/>
      <c r="D9" s="171"/>
      <c r="E9" s="155" t="s">
        <v>977</v>
      </c>
      <c r="F9" s="871" t="str">
        <f>CONCATENATE('Заявка стр. 1'!A25)</f>
        <v>Симонова Наталья Владимировна</v>
      </c>
      <c r="G9" s="871"/>
      <c r="H9" s="871"/>
      <c r="I9" s="70"/>
      <c r="J9" s="153" t="s">
        <v>979</v>
      </c>
      <c r="K9" s="291">
        <f>'Заявка стр. 2'!L12</f>
        <v>0</v>
      </c>
      <c r="L9" s="1104"/>
      <c r="N9" s="161"/>
      <c r="U9" s="7"/>
      <c r="V9" s="7"/>
    </row>
    <row r="10" spans="1:14" s="7" customFormat="1" ht="2.25" customHeight="1">
      <c r="A10" s="166"/>
      <c r="B10" s="164"/>
      <c r="C10" s="164"/>
      <c r="D10" s="164"/>
      <c r="E10" s="160"/>
      <c r="G10" s="174"/>
      <c r="H10" s="182"/>
      <c r="I10" s="182"/>
      <c r="J10" s="154"/>
      <c r="K10" s="180"/>
      <c r="L10" s="1104"/>
      <c r="N10" s="161"/>
    </row>
    <row r="11" spans="1:22" ht="12" customHeight="1">
      <c r="A11" s="170" t="s">
        <v>595</v>
      </c>
      <c r="B11" s="1071" t="s">
        <v>570</v>
      </c>
      <c r="C11" s="1072"/>
      <c r="D11" s="185"/>
      <c r="E11" s="173" t="s">
        <v>978</v>
      </c>
      <c r="F11" s="871" t="str">
        <f>CONCATENATE('Заявка стр. 1'!B27)</f>
        <v>(495) 276-52-71</v>
      </c>
      <c r="G11" s="871"/>
      <c r="H11" s="871"/>
      <c r="I11" s="70"/>
      <c r="J11" s="153"/>
      <c r="K11" s="180"/>
      <c r="L11" s="1104"/>
      <c r="N11" s="161"/>
      <c r="U11" s="7"/>
      <c r="V11" s="7"/>
    </row>
    <row r="12" spans="1:22" ht="2.25" customHeight="1">
      <c r="A12" s="203"/>
      <c r="B12" s="204"/>
      <c r="C12" s="204"/>
      <c r="D12" s="204"/>
      <c r="E12" s="203"/>
      <c r="F12" s="205"/>
      <c r="G12" s="202"/>
      <c r="H12" s="202"/>
      <c r="I12" s="202"/>
      <c r="J12" s="202"/>
      <c r="K12" s="206"/>
      <c r="L12" s="1104"/>
      <c r="M12" s="180"/>
      <c r="N12" s="161"/>
      <c r="O12" s="22"/>
      <c r="P12" s="22"/>
      <c r="Q12" s="70"/>
      <c r="U12" s="7"/>
      <c r="V12" s="7"/>
    </row>
    <row r="13" spans="1:12" s="7" customFormat="1" ht="27" customHeight="1">
      <c r="A13" s="1004" t="s">
        <v>138</v>
      </c>
      <c r="B13" s="1004"/>
      <c r="C13" s="1004"/>
      <c r="D13" s="1004"/>
      <c r="E13" s="1004"/>
      <c r="F13" s="1004"/>
      <c r="G13" s="1004"/>
      <c r="H13" s="1004"/>
      <c r="I13" s="1004"/>
      <c r="J13" s="1004"/>
      <c r="K13" s="1004"/>
      <c r="L13" s="1104"/>
    </row>
    <row r="14" spans="1:12" s="7" customFormat="1" ht="13.5" customHeight="1">
      <c r="A14" s="1041" t="s">
        <v>571</v>
      </c>
      <c r="B14" s="1041"/>
      <c r="C14" s="1041"/>
      <c r="D14" s="36"/>
      <c r="E14" s="1117" t="str">
        <f>'содержание '!C87</f>
        <v>с 13 по 15 октября 2016 г.</v>
      </c>
      <c r="F14" s="1041"/>
      <c r="G14" s="1041"/>
      <c r="H14" s="1041"/>
      <c r="I14" s="1041"/>
      <c r="J14" s="1041"/>
      <c r="K14" s="1041"/>
      <c r="L14" s="1104"/>
    </row>
    <row r="15" spans="1:12" s="7" customFormat="1" ht="13.5" customHeight="1">
      <c r="A15" s="1004" t="s">
        <v>132</v>
      </c>
      <c r="B15" s="1004"/>
      <c r="C15" s="1004"/>
      <c r="D15" s="1004"/>
      <c r="E15" s="1004"/>
      <c r="F15" s="1004"/>
      <c r="G15" s="1004"/>
      <c r="H15" s="1004"/>
      <c r="I15" s="1004"/>
      <c r="J15" s="1004"/>
      <c r="K15" s="1004"/>
      <c r="L15" s="1104"/>
    </row>
    <row r="16" spans="1:21" s="4" customFormat="1" ht="25.5" customHeight="1">
      <c r="A16" s="1110" t="s">
        <v>926</v>
      </c>
      <c r="B16" s="1110"/>
      <c r="C16" s="1110"/>
      <c r="D16" s="1110"/>
      <c r="E16" s="1110"/>
      <c r="F16" s="341" t="s">
        <v>100</v>
      </c>
      <c r="G16" s="197" t="s">
        <v>249</v>
      </c>
      <c r="H16" s="847" t="s">
        <v>130</v>
      </c>
      <c r="I16" s="847"/>
      <c r="J16" s="847"/>
      <c r="K16" s="197" t="s">
        <v>87</v>
      </c>
      <c r="L16" s="1104"/>
      <c r="M16" s="41"/>
      <c r="N16" s="41"/>
      <c r="O16" s="96"/>
      <c r="P16" s="96"/>
      <c r="Q16" s="21"/>
      <c r="R16" s="21"/>
      <c r="S16" s="21"/>
      <c r="T16" s="21"/>
      <c r="U16" s="3"/>
    </row>
    <row r="17" spans="1:21" s="4" customFormat="1" ht="15.75">
      <c r="A17" s="1133" t="s">
        <v>996</v>
      </c>
      <c r="B17" s="1134"/>
      <c r="C17" s="1131"/>
      <c r="D17" s="1131"/>
      <c r="E17" s="1132"/>
      <c r="F17" s="501">
        <v>12005</v>
      </c>
      <c r="G17" s="496">
        <v>0</v>
      </c>
      <c r="H17" s="1120">
        <v>0</v>
      </c>
      <c r="I17" s="1120"/>
      <c r="J17" s="1120"/>
      <c r="K17" s="497">
        <f>F17*G17*H17</f>
        <v>0</v>
      </c>
      <c r="L17" s="1104"/>
      <c r="M17" s="107"/>
      <c r="N17" s="41"/>
      <c r="O17" s="96"/>
      <c r="P17" s="96"/>
      <c r="Q17" s="21"/>
      <c r="R17" s="21"/>
      <c r="S17" s="21"/>
      <c r="T17" s="21"/>
      <c r="U17" s="3"/>
    </row>
    <row r="18" spans="1:21" s="4" customFormat="1" ht="15.75">
      <c r="A18" s="1133" t="s">
        <v>997</v>
      </c>
      <c r="B18" s="1134"/>
      <c r="C18" s="1131"/>
      <c r="D18" s="1131"/>
      <c r="E18" s="1132"/>
      <c r="F18" s="502">
        <v>26852</v>
      </c>
      <c r="G18" s="499">
        <v>0</v>
      </c>
      <c r="H18" s="1118">
        <v>0</v>
      </c>
      <c r="I18" s="1118"/>
      <c r="J18" s="1118"/>
      <c r="K18" s="497">
        <f>F18*G18*H18</f>
        <v>0</v>
      </c>
      <c r="L18" s="1104"/>
      <c r="M18" s="107"/>
      <c r="N18" s="41"/>
      <c r="O18" s="96"/>
      <c r="P18" s="96"/>
      <c r="Q18" s="21"/>
      <c r="R18" s="21"/>
      <c r="S18" s="21"/>
      <c r="T18" s="21"/>
      <c r="U18" s="3"/>
    </row>
    <row r="19" spans="1:21" s="23" customFormat="1" ht="24.75" customHeight="1">
      <c r="A19" s="1058" t="s">
        <v>650</v>
      </c>
      <c r="B19" s="1058"/>
      <c r="C19" s="1058"/>
      <c r="D19" s="1058"/>
      <c r="E19" s="1058"/>
      <c r="F19" s="1058"/>
      <c r="G19" s="1058"/>
      <c r="H19" s="1058"/>
      <c r="I19" s="1058"/>
      <c r="J19" s="1058"/>
      <c r="K19" s="1058"/>
      <c r="L19" s="1104"/>
      <c r="M19" s="107"/>
      <c r="N19" s="41"/>
      <c r="O19" s="39"/>
      <c r="P19" s="39"/>
      <c r="Q19" s="39"/>
      <c r="R19" s="39"/>
      <c r="S19" s="39"/>
      <c r="T19" s="39"/>
      <c r="U19" s="39"/>
    </row>
    <row r="20" spans="5:21" s="22" customFormat="1" ht="2.25" customHeight="1">
      <c r="E20" s="99"/>
      <c r="F20" s="46"/>
      <c r="G20" s="46"/>
      <c r="H20" s="101"/>
      <c r="I20" s="101"/>
      <c r="J20" s="101"/>
      <c r="K20" s="100"/>
      <c r="L20" s="1104"/>
      <c r="M20" s="107"/>
      <c r="N20" s="41"/>
      <c r="O20" s="96"/>
      <c r="P20" s="96"/>
      <c r="Q20" s="21"/>
      <c r="R20" s="21"/>
      <c r="S20" s="21"/>
      <c r="T20" s="21"/>
      <c r="U20" s="41"/>
    </row>
    <row r="21" spans="1:21" s="4" customFormat="1" ht="26.25" customHeight="1">
      <c r="A21" s="1110" t="s">
        <v>927</v>
      </c>
      <c r="B21" s="1110"/>
      <c r="C21" s="1110"/>
      <c r="D21" s="1110"/>
      <c r="E21" s="1110"/>
      <c r="F21" s="341" t="s">
        <v>100</v>
      </c>
      <c r="G21" s="197" t="s">
        <v>249</v>
      </c>
      <c r="H21" s="847" t="s">
        <v>130</v>
      </c>
      <c r="I21" s="847"/>
      <c r="J21" s="847"/>
      <c r="K21" s="197" t="s">
        <v>87</v>
      </c>
      <c r="L21" s="1104"/>
      <c r="M21" s="107"/>
      <c r="N21" s="41"/>
      <c r="O21" s="96"/>
      <c r="P21" s="106"/>
      <c r="Q21" s="106"/>
      <c r="R21" s="106"/>
      <c r="S21" s="21"/>
      <c r="T21" s="21"/>
      <c r="U21" s="3"/>
    </row>
    <row r="22" spans="1:21" s="4" customFormat="1" ht="15.75">
      <c r="A22" s="1130" t="s">
        <v>137</v>
      </c>
      <c r="B22" s="1130"/>
      <c r="C22" s="1130"/>
      <c r="D22" s="1130"/>
      <c r="E22" s="1130"/>
      <c r="F22" s="501">
        <v>8183</v>
      </c>
      <c r="G22" s="496">
        <v>0</v>
      </c>
      <c r="H22" s="1120">
        <v>0</v>
      </c>
      <c r="I22" s="1120"/>
      <c r="J22" s="1120"/>
      <c r="K22" s="497">
        <f>F22*G22*H22</f>
        <v>0</v>
      </c>
      <c r="L22" s="1104"/>
      <c r="M22" s="107"/>
      <c r="N22" s="41"/>
      <c r="O22" s="96"/>
      <c r="P22" s="96"/>
      <c r="Q22" s="21"/>
      <c r="R22" s="21"/>
      <c r="S22" s="21"/>
      <c r="T22" s="21"/>
      <c r="U22" s="3"/>
    </row>
    <row r="23" spans="1:21" s="4" customFormat="1" ht="15.75">
      <c r="A23" s="1130" t="s">
        <v>232</v>
      </c>
      <c r="B23" s="1130"/>
      <c r="C23" s="1130"/>
      <c r="D23" s="1130"/>
      <c r="E23" s="1130"/>
      <c r="F23" s="502">
        <v>10339</v>
      </c>
      <c r="G23" s="499">
        <v>0</v>
      </c>
      <c r="H23" s="1118">
        <v>0</v>
      </c>
      <c r="I23" s="1118"/>
      <c r="J23" s="1118"/>
      <c r="K23" s="497">
        <f>F23*G23*H23</f>
        <v>0</v>
      </c>
      <c r="L23" s="1104"/>
      <c r="M23" s="107"/>
      <c r="N23" s="41"/>
      <c r="O23" s="96"/>
      <c r="P23" s="96"/>
      <c r="Q23" s="21"/>
      <c r="R23" s="21"/>
      <c r="S23" s="21"/>
      <c r="T23" s="21"/>
      <c r="U23" s="3"/>
    </row>
    <row r="24" spans="5:21" s="7" customFormat="1" ht="1.5" customHeight="1">
      <c r="E24" s="41"/>
      <c r="F24" s="41"/>
      <c r="G24" s="41"/>
      <c r="H24" s="41"/>
      <c r="I24" s="41"/>
      <c r="J24" s="41"/>
      <c r="K24" s="42"/>
      <c r="L24" s="1104"/>
      <c r="M24" s="107"/>
      <c r="N24" s="41"/>
      <c r="O24" s="95"/>
      <c r="P24" s="94"/>
      <c r="Q24" s="1136"/>
      <c r="R24" s="1136"/>
      <c r="S24" s="42"/>
      <c r="T24" s="1135"/>
      <c r="U24" s="1135"/>
    </row>
    <row r="25" spans="1:21" s="4" customFormat="1" ht="26.25" customHeight="1">
      <c r="A25" s="1110" t="s">
        <v>29</v>
      </c>
      <c r="B25" s="1110"/>
      <c r="C25" s="1110"/>
      <c r="D25" s="1110"/>
      <c r="E25" s="1110"/>
      <c r="F25" s="341" t="s">
        <v>100</v>
      </c>
      <c r="G25" s="197" t="s">
        <v>249</v>
      </c>
      <c r="H25" s="847" t="s">
        <v>130</v>
      </c>
      <c r="I25" s="847"/>
      <c r="J25" s="847"/>
      <c r="K25" s="197" t="s">
        <v>87</v>
      </c>
      <c r="L25" s="1104"/>
      <c r="M25" s="107"/>
      <c r="N25" s="41"/>
      <c r="O25" s="96"/>
      <c r="P25" s="106"/>
      <c r="Q25" s="106"/>
      <c r="R25" s="106"/>
      <c r="S25" s="21"/>
      <c r="T25" s="21"/>
      <c r="U25" s="3"/>
    </row>
    <row r="26" spans="1:21" s="4" customFormat="1" ht="15.75">
      <c r="A26" s="1130" t="s">
        <v>134</v>
      </c>
      <c r="B26" s="1130"/>
      <c r="C26" s="1130"/>
      <c r="D26" s="1130"/>
      <c r="E26" s="1130"/>
      <c r="F26" s="501">
        <v>7432</v>
      </c>
      <c r="G26" s="496">
        <v>0</v>
      </c>
      <c r="H26" s="1120">
        <v>0</v>
      </c>
      <c r="I26" s="1120"/>
      <c r="J26" s="1120"/>
      <c r="K26" s="497">
        <f>F26*G26*H26</f>
        <v>0</v>
      </c>
      <c r="L26" s="1104"/>
      <c r="M26" s="107"/>
      <c r="N26" s="41"/>
      <c r="O26" s="96"/>
      <c r="P26" s="96"/>
      <c r="Q26" s="21"/>
      <c r="R26" s="21"/>
      <c r="S26" s="21"/>
      <c r="T26" s="21"/>
      <c r="U26" s="3"/>
    </row>
    <row r="27" spans="1:21" s="4" customFormat="1" ht="15.75">
      <c r="A27" s="1130" t="s">
        <v>233</v>
      </c>
      <c r="B27" s="1130"/>
      <c r="C27" s="1130"/>
      <c r="D27" s="1130"/>
      <c r="E27" s="1130"/>
      <c r="F27" s="502">
        <v>9718</v>
      </c>
      <c r="G27" s="499">
        <v>0</v>
      </c>
      <c r="H27" s="1118">
        <v>0</v>
      </c>
      <c r="I27" s="1118"/>
      <c r="J27" s="1118"/>
      <c r="K27" s="497">
        <f>F27*G27*H27</f>
        <v>0</v>
      </c>
      <c r="L27" s="1104"/>
      <c r="M27" s="107"/>
      <c r="N27" s="41"/>
      <c r="O27" s="96"/>
      <c r="P27" s="96"/>
      <c r="Q27" s="21"/>
      <c r="R27" s="21"/>
      <c r="S27" s="21"/>
      <c r="T27" s="21"/>
      <c r="U27" s="3"/>
    </row>
    <row r="28" spans="5:21" s="7" customFormat="1" ht="1.5" customHeight="1">
      <c r="E28" s="41"/>
      <c r="F28" s="41"/>
      <c r="G28" s="41"/>
      <c r="H28" s="41"/>
      <c r="I28" s="41"/>
      <c r="J28" s="41"/>
      <c r="K28" s="42"/>
      <c r="L28" s="1104"/>
      <c r="M28" s="107"/>
      <c r="N28" s="41"/>
      <c r="O28" s="95"/>
      <c r="P28" s="94"/>
      <c r="Q28" s="1136"/>
      <c r="R28" s="1136"/>
      <c r="S28" s="42"/>
      <c r="T28" s="1135"/>
      <c r="U28" s="1135"/>
    </row>
    <row r="29" spans="1:21" s="4" customFormat="1" ht="26.25" customHeight="1">
      <c r="A29" s="1110" t="s">
        <v>30</v>
      </c>
      <c r="B29" s="1110"/>
      <c r="C29" s="1110"/>
      <c r="D29" s="1110"/>
      <c r="E29" s="1110"/>
      <c r="F29" s="341" t="s">
        <v>100</v>
      </c>
      <c r="G29" s="197" t="s">
        <v>249</v>
      </c>
      <c r="H29" s="847" t="s">
        <v>130</v>
      </c>
      <c r="I29" s="847"/>
      <c r="J29" s="847"/>
      <c r="K29" s="197" t="s">
        <v>87</v>
      </c>
      <c r="L29" s="1104"/>
      <c r="M29" s="107"/>
      <c r="N29" s="41"/>
      <c r="O29" s="96"/>
      <c r="P29" s="106"/>
      <c r="Q29" s="106"/>
      <c r="R29" s="106"/>
      <c r="S29" s="21"/>
      <c r="T29" s="21"/>
      <c r="U29" s="3"/>
    </row>
    <row r="30" spans="1:21" s="4" customFormat="1" ht="15.75">
      <c r="A30" s="1130" t="s">
        <v>134</v>
      </c>
      <c r="B30" s="1130"/>
      <c r="C30" s="1130"/>
      <c r="D30" s="1130"/>
      <c r="E30" s="1130"/>
      <c r="F30" s="501">
        <v>8575</v>
      </c>
      <c r="G30" s="496">
        <v>1</v>
      </c>
      <c r="H30" s="1120">
        <v>0</v>
      </c>
      <c r="I30" s="1120"/>
      <c r="J30" s="1120"/>
      <c r="K30" s="497">
        <f>F30*G30*H30</f>
        <v>0</v>
      </c>
      <c r="L30" s="1104"/>
      <c r="M30" s="107"/>
      <c r="N30" s="41"/>
      <c r="O30" s="96"/>
      <c r="P30" s="96"/>
      <c r="Q30" s="21"/>
      <c r="R30" s="21"/>
      <c r="S30" s="21"/>
      <c r="T30" s="21"/>
      <c r="U30" s="3"/>
    </row>
    <row r="31" spans="1:21" s="4" customFormat="1" ht="15.75">
      <c r="A31" s="1130" t="s">
        <v>233</v>
      </c>
      <c r="B31" s="1130"/>
      <c r="C31" s="1130"/>
      <c r="D31" s="1130"/>
      <c r="E31" s="1130"/>
      <c r="F31" s="502">
        <v>10862</v>
      </c>
      <c r="G31" s="499">
        <v>1</v>
      </c>
      <c r="H31" s="1118">
        <v>0</v>
      </c>
      <c r="I31" s="1118"/>
      <c r="J31" s="1118"/>
      <c r="K31" s="497">
        <f>F31*G31*H31</f>
        <v>0</v>
      </c>
      <c r="L31" s="1104"/>
      <c r="M31" s="107"/>
      <c r="N31" s="41"/>
      <c r="O31" s="96"/>
      <c r="P31" s="96"/>
      <c r="Q31" s="21"/>
      <c r="R31" s="21"/>
      <c r="S31" s="21"/>
      <c r="T31" s="21"/>
      <c r="U31" s="3"/>
    </row>
    <row r="32" spans="5:21" s="7" customFormat="1" ht="1.5" customHeight="1">
      <c r="E32" s="41"/>
      <c r="F32" s="41"/>
      <c r="G32" s="41"/>
      <c r="H32" s="41"/>
      <c r="I32" s="41"/>
      <c r="J32" s="41"/>
      <c r="K32" s="42"/>
      <c r="L32" s="1104"/>
      <c r="M32" s="107"/>
      <c r="N32" s="41"/>
      <c r="O32" s="95"/>
      <c r="P32" s="94"/>
      <c r="Q32" s="1136"/>
      <c r="R32" s="1136"/>
      <c r="S32" s="42"/>
      <c r="T32" s="1135"/>
      <c r="U32" s="1135"/>
    </row>
    <row r="33" spans="1:21" s="4" customFormat="1" ht="26.25" customHeight="1">
      <c r="A33" s="1110" t="s">
        <v>31</v>
      </c>
      <c r="B33" s="1110"/>
      <c r="C33" s="1110"/>
      <c r="D33" s="1110"/>
      <c r="E33" s="1110"/>
      <c r="F33" s="341" t="s">
        <v>100</v>
      </c>
      <c r="G33" s="197" t="s">
        <v>249</v>
      </c>
      <c r="H33" s="847" t="s">
        <v>130</v>
      </c>
      <c r="I33" s="847"/>
      <c r="J33" s="847"/>
      <c r="K33" s="197" t="s">
        <v>87</v>
      </c>
      <c r="L33" s="1104"/>
      <c r="M33" s="107"/>
      <c r="N33" s="41"/>
      <c r="O33" s="96"/>
      <c r="P33" s="106"/>
      <c r="Q33" s="106"/>
      <c r="R33" s="106"/>
      <c r="S33" s="21"/>
      <c r="T33" s="21"/>
      <c r="U33" s="3"/>
    </row>
    <row r="34" spans="1:21" s="4" customFormat="1" ht="15.75">
      <c r="A34" s="1130" t="s">
        <v>32</v>
      </c>
      <c r="B34" s="1130"/>
      <c r="C34" s="1130"/>
      <c r="D34" s="1130"/>
      <c r="E34" s="1130"/>
      <c r="F34" s="501">
        <v>8722</v>
      </c>
      <c r="G34" s="496">
        <v>1</v>
      </c>
      <c r="H34" s="1120">
        <v>0</v>
      </c>
      <c r="I34" s="1120"/>
      <c r="J34" s="1120"/>
      <c r="K34" s="497">
        <f>F34*G34*H34</f>
        <v>0</v>
      </c>
      <c r="L34" s="1104"/>
      <c r="M34" s="107"/>
      <c r="N34" s="41"/>
      <c r="O34" s="96"/>
      <c r="P34" s="96"/>
      <c r="Q34" s="21"/>
      <c r="R34" s="21"/>
      <c r="S34" s="21"/>
      <c r="T34" s="21"/>
      <c r="U34" s="3"/>
    </row>
    <row r="35" spans="5:21" s="7" customFormat="1" ht="2.25" customHeight="1">
      <c r="E35" s="41"/>
      <c r="F35" s="41"/>
      <c r="G35" s="41"/>
      <c r="H35" s="41"/>
      <c r="I35" s="41"/>
      <c r="J35" s="41"/>
      <c r="K35" s="42"/>
      <c r="L35" s="1104"/>
      <c r="M35" s="107"/>
      <c r="N35" s="41"/>
      <c r="O35" s="95"/>
      <c r="P35" s="94"/>
      <c r="Q35" s="1136"/>
      <c r="R35" s="1136"/>
      <c r="S35" s="42"/>
      <c r="T35" s="1135"/>
      <c r="U35" s="1135"/>
    </row>
    <row r="36" spans="1:21" s="4" customFormat="1" ht="26.25" customHeight="1">
      <c r="A36" s="1110" t="s">
        <v>33</v>
      </c>
      <c r="B36" s="1110"/>
      <c r="C36" s="1110"/>
      <c r="D36" s="1110"/>
      <c r="E36" s="1110"/>
      <c r="F36" s="341" t="s">
        <v>100</v>
      </c>
      <c r="G36" s="197" t="s">
        <v>249</v>
      </c>
      <c r="H36" s="847" t="s">
        <v>130</v>
      </c>
      <c r="I36" s="847"/>
      <c r="J36" s="847"/>
      <c r="K36" s="197" t="s">
        <v>87</v>
      </c>
      <c r="L36" s="1104"/>
      <c r="M36" s="107"/>
      <c r="N36" s="41"/>
      <c r="O36" s="96"/>
      <c r="P36" s="106"/>
      <c r="Q36" s="106"/>
      <c r="R36" s="106"/>
      <c r="S36" s="21"/>
      <c r="T36" s="21"/>
      <c r="U36" s="3"/>
    </row>
    <row r="37" spans="1:21" s="4" customFormat="1" ht="15.75">
      <c r="A37" s="1130" t="s">
        <v>135</v>
      </c>
      <c r="B37" s="1130"/>
      <c r="C37" s="1130"/>
      <c r="D37" s="1130"/>
      <c r="E37" s="1130"/>
      <c r="F37" s="501">
        <v>7432</v>
      </c>
      <c r="G37" s="496">
        <v>1</v>
      </c>
      <c r="H37" s="1120">
        <v>0</v>
      </c>
      <c r="I37" s="1120"/>
      <c r="J37" s="1120"/>
      <c r="K37" s="497">
        <f>F37*G37*H37</f>
        <v>0</v>
      </c>
      <c r="L37" s="1104"/>
      <c r="M37" s="107"/>
      <c r="N37" s="41"/>
      <c r="O37" s="96"/>
      <c r="P37" s="96"/>
      <c r="Q37" s="21"/>
      <c r="R37" s="21"/>
      <c r="S37" s="21"/>
      <c r="T37" s="21"/>
      <c r="U37" s="3"/>
    </row>
    <row r="38" spans="1:21" s="4" customFormat="1" ht="15.75">
      <c r="A38" s="1130" t="s">
        <v>234</v>
      </c>
      <c r="B38" s="1130"/>
      <c r="C38" s="1130"/>
      <c r="D38" s="1130"/>
      <c r="E38" s="1130"/>
      <c r="F38" s="502">
        <v>9718</v>
      </c>
      <c r="G38" s="499">
        <v>1</v>
      </c>
      <c r="H38" s="1118">
        <v>0</v>
      </c>
      <c r="I38" s="1118"/>
      <c r="J38" s="1118"/>
      <c r="K38" s="497">
        <f>F38*G38*H38</f>
        <v>0</v>
      </c>
      <c r="L38" s="1104"/>
      <c r="M38" s="107"/>
      <c r="N38" s="41"/>
      <c r="O38" s="96"/>
      <c r="P38" s="96"/>
      <c r="Q38" s="21"/>
      <c r="R38" s="21"/>
      <c r="S38" s="21"/>
      <c r="T38" s="21"/>
      <c r="U38" s="3"/>
    </row>
    <row r="39" spans="1:21" s="4" customFormat="1" ht="15.75">
      <c r="A39" s="1130" t="s">
        <v>136</v>
      </c>
      <c r="B39" s="1130"/>
      <c r="C39" s="1130"/>
      <c r="D39" s="1130"/>
      <c r="E39" s="1130"/>
      <c r="F39" s="502">
        <v>6288</v>
      </c>
      <c r="G39" s="496">
        <v>1</v>
      </c>
      <c r="H39" s="1120">
        <v>0</v>
      </c>
      <c r="I39" s="1120"/>
      <c r="J39" s="1120"/>
      <c r="K39" s="497">
        <f>F39*G39*H39</f>
        <v>0</v>
      </c>
      <c r="L39" s="1104"/>
      <c r="M39" s="107"/>
      <c r="N39" s="41"/>
      <c r="O39" s="96"/>
      <c r="P39" s="96"/>
      <c r="Q39" s="21"/>
      <c r="R39" s="21"/>
      <c r="S39" s="21"/>
      <c r="T39" s="21"/>
      <c r="U39" s="3"/>
    </row>
    <row r="40" spans="1:21" s="4" customFormat="1" ht="15.75">
      <c r="A40" s="1130" t="s">
        <v>235</v>
      </c>
      <c r="B40" s="1130"/>
      <c r="C40" s="1130"/>
      <c r="D40" s="1130"/>
      <c r="E40" s="1130"/>
      <c r="F40" s="502">
        <v>8575</v>
      </c>
      <c r="G40" s="499">
        <v>1</v>
      </c>
      <c r="H40" s="1118">
        <v>0</v>
      </c>
      <c r="I40" s="1118"/>
      <c r="J40" s="1118"/>
      <c r="K40" s="497">
        <f>F40*G40*H40</f>
        <v>0</v>
      </c>
      <c r="L40" s="1104"/>
      <c r="M40" s="107"/>
      <c r="N40" s="41"/>
      <c r="O40" s="96"/>
      <c r="P40" s="96"/>
      <c r="Q40" s="21"/>
      <c r="R40" s="21"/>
      <c r="S40" s="21"/>
      <c r="T40" s="21"/>
      <c r="U40" s="3"/>
    </row>
    <row r="41" spans="5:21" s="7" customFormat="1" ht="3" customHeight="1">
      <c r="E41" s="41"/>
      <c r="F41" s="41"/>
      <c r="G41" s="41"/>
      <c r="H41" s="41"/>
      <c r="I41" s="41"/>
      <c r="J41" s="41"/>
      <c r="K41" s="42"/>
      <c r="L41" s="1104"/>
      <c r="M41" s="107"/>
      <c r="N41" s="42"/>
      <c r="O41" s="95"/>
      <c r="P41" s="94"/>
      <c r="Q41" s="1136"/>
      <c r="R41" s="1136"/>
      <c r="S41" s="42"/>
      <c r="T41" s="1135"/>
      <c r="U41" s="1135"/>
    </row>
    <row r="42" spans="5:21" s="7" customFormat="1" ht="15.75">
      <c r="E42" s="1069" t="s">
        <v>80</v>
      </c>
      <c r="F42" s="1069"/>
      <c r="G42" s="1069"/>
      <c r="H42" s="1069"/>
      <c r="I42" s="1069"/>
      <c r="J42" s="1129"/>
      <c r="K42" s="665">
        <f>SUM(K17:K18,K22:K23,K26:K27,K30:K31,K34,K37:K40)</f>
        <v>0</v>
      </c>
      <c r="L42" s="1104"/>
      <c r="M42" s="43"/>
      <c r="N42" s="43"/>
      <c r="O42" s="97"/>
      <c r="P42" s="94"/>
      <c r="Q42" s="21"/>
      <c r="R42" s="45"/>
      <c r="S42" s="21"/>
      <c r="T42" s="21"/>
      <c r="U42" s="41"/>
    </row>
    <row r="43" spans="5:21" s="7" customFormat="1" ht="15.75">
      <c r="E43" s="1069" t="s">
        <v>103</v>
      </c>
      <c r="F43" s="1069"/>
      <c r="G43" s="1069"/>
      <c r="H43" s="1069"/>
      <c r="I43" s="1069"/>
      <c r="J43" s="1129"/>
      <c r="K43" s="665">
        <f>K42*0.18</f>
        <v>0</v>
      </c>
      <c r="L43" s="1104"/>
      <c r="M43" s="43"/>
      <c r="N43" s="43"/>
      <c r="O43" s="95"/>
      <c r="P43" s="94"/>
      <c r="Q43" s="21"/>
      <c r="R43" s="45"/>
      <c r="S43" s="21"/>
      <c r="T43" s="21"/>
      <c r="U43" s="41"/>
    </row>
    <row r="44" spans="5:21" s="7" customFormat="1" ht="15.75">
      <c r="E44" s="1069" t="s">
        <v>82</v>
      </c>
      <c r="F44" s="1069"/>
      <c r="G44" s="1069"/>
      <c r="H44" s="1069"/>
      <c r="I44" s="1069"/>
      <c r="J44" s="1129"/>
      <c r="K44" s="666">
        <f>K42+K43</f>
        <v>0</v>
      </c>
      <c r="L44" s="1104"/>
      <c r="M44" s="43"/>
      <c r="N44" s="43"/>
      <c r="O44" s="97"/>
      <c r="P44" s="94"/>
      <c r="Q44" s="21"/>
      <c r="R44" s="21"/>
      <c r="S44" s="21"/>
      <c r="T44" s="21"/>
      <c r="U44" s="41"/>
    </row>
    <row r="45" spans="1:12" ht="40.5" customHeight="1">
      <c r="A45" s="1113" t="s">
        <v>104</v>
      </c>
      <c r="B45" s="1113"/>
      <c r="C45" s="1113"/>
      <c r="D45" s="1113"/>
      <c r="E45" s="1113"/>
      <c r="F45" s="1113"/>
      <c r="G45" s="1113"/>
      <c r="H45" s="1113"/>
      <c r="I45" s="1113"/>
      <c r="J45" s="1113"/>
      <c r="K45" s="1113"/>
      <c r="L45" s="1104"/>
    </row>
    <row r="46" spans="1:12" ht="31.5" customHeight="1">
      <c r="A46" s="1113" t="s">
        <v>105</v>
      </c>
      <c r="B46" s="1113"/>
      <c r="C46" s="1113"/>
      <c r="D46" s="1113"/>
      <c r="E46" s="1113"/>
      <c r="F46" s="1113"/>
      <c r="G46" s="1113"/>
      <c r="H46" s="1113"/>
      <c r="I46" s="1113"/>
      <c r="J46" s="1113"/>
      <c r="K46" s="1113"/>
      <c r="L46" s="1104"/>
    </row>
    <row r="47" spans="1:12" ht="12.75">
      <c r="A47" s="7" t="s">
        <v>1007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1104"/>
    </row>
    <row r="48" spans="1:12" ht="13.5" customHeight="1">
      <c r="A48" s="984" t="s">
        <v>319</v>
      </c>
      <c r="B48" s="984"/>
      <c r="C48" s="984"/>
      <c r="D48" s="984"/>
      <c r="E48" s="984"/>
      <c r="F48" s="47" t="s">
        <v>564</v>
      </c>
      <c r="G48" s="1014" t="str">
        <f>CONCATENATE('Заявка стр. 1'!B4)</f>
        <v>АО "Научно-производственный центр "Вигстар"</v>
      </c>
      <c r="H48" s="1014"/>
      <c r="I48" s="1014"/>
      <c r="J48" s="1014"/>
      <c r="K48" s="1014"/>
      <c r="L48" s="1104"/>
    </row>
    <row r="49" spans="1:12" ht="12.75" customHeight="1">
      <c r="A49" s="989" t="s">
        <v>1091</v>
      </c>
      <c r="B49" s="990"/>
      <c r="C49" s="990"/>
      <c r="D49" s="990"/>
      <c r="E49" s="990"/>
      <c r="F49" s="47"/>
      <c r="G49" s="704" t="str">
        <f>CONCATENATE('Заявка стр. 1'!B17)</f>
        <v>Заместитель генерального директора по экономике и финансам</v>
      </c>
      <c r="H49" s="704"/>
      <c r="I49" s="704"/>
      <c r="J49" s="704"/>
      <c r="K49" s="704"/>
      <c r="L49" s="1104"/>
    </row>
    <row r="50" spans="1:12" ht="12.75" customHeight="1">
      <c r="A50" s="623" t="s">
        <v>920</v>
      </c>
      <c r="B50" s="48"/>
      <c r="C50" s="48"/>
      <c r="D50" s="48"/>
      <c r="E50" s="48"/>
      <c r="F50" s="47"/>
      <c r="G50" s="584"/>
      <c r="H50" s="584"/>
      <c r="I50" s="584"/>
      <c r="J50" s="584"/>
      <c r="K50" s="584"/>
      <c r="L50" s="1104"/>
    </row>
    <row r="51" spans="1:12" ht="14.25" customHeight="1">
      <c r="A51" s="991"/>
      <c r="B51" s="992"/>
      <c r="C51" s="992"/>
      <c r="D51" s="992"/>
      <c r="E51" s="992"/>
      <c r="F51" s="44"/>
      <c r="G51" s="988" t="str">
        <f>CONCATENATE('Заявка стр. 1'!A19)</f>
        <v>Короткевич Олег Иосифович</v>
      </c>
      <c r="H51" s="988"/>
      <c r="I51" s="988"/>
      <c r="J51" s="988"/>
      <c r="K51" s="988"/>
      <c r="L51" s="1104"/>
    </row>
    <row r="52" spans="1:12" ht="14.25" customHeight="1">
      <c r="A52" s="1081" t="s">
        <v>562</v>
      </c>
      <c r="B52" s="1081"/>
      <c r="C52" s="1081"/>
      <c r="D52" s="1081"/>
      <c r="E52" s="1081"/>
      <c r="F52" s="44"/>
      <c r="G52" s="1082" t="s">
        <v>414</v>
      </c>
      <c r="H52" s="1082"/>
      <c r="I52" s="1082"/>
      <c r="J52" s="1082"/>
      <c r="K52" s="1082"/>
      <c r="L52" s="1104"/>
    </row>
    <row r="53" spans="1:12" ht="16.5" customHeight="1">
      <c r="A53" s="982" t="s">
        <v>747</v>
      </c>
      <c r="B53" s="982"/>
      <c r="C53" s="982"/>
      <c r="D53" s="982"/>
      <c r="E53" s="982"/>
      <c r="F53" s="5"/>
      <c r="G53" s="820" t="s">
        <v>747</v>
      </c>
      <c r="H53" s="820"/>
      <c r="I53" s="820"/>
      <c r="J53" s="820"/>
      <c r="K53" s="820"/>
      <c r="L53" s="1104"/>
    </row>
    <row r="54" spans="1:11" ht="12.75">
      <c r="A54" s="7"/>
      <c r="B54" s="7"/>
      <c r="C54" s="7"/>
      <c r="D54" s="7"/>
      <c r="E54" s="40"/>
      <c r="F54" s="40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40"/>
      <c r="F55" s="105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1:24" s="7" customFormat="1" ht="12.75">
      <c r="U62" s="1"/>
      <c r="V62" s="1"/>
      <c r="W62" s="1"/>
      <c r="X62" s="1"/>
    </row>
    <row r="63" spans="21:24" s="7" customFormat="1" ht="12.75">
      <c r="U63" s="1"/>
      <c r="V63" s="1"/>
      <c r="W63" s="1"/>
      <c r="X63" s="1"/>
    </row>
    <row r="64" spans="21:24" s="7" customFormat="1" ht="12.75">
      <c r="U64" s="1"/>
      <c r="V64" s="1"/>
      <c r="W64" s="1"/>
      <c r="X64" s="1"/>
    </row>
    <row r="65" spans="21:24" s="7" customFormat="1" ht="12.75">
      <c r="U65" s="1"/>
      <c r="V65" s="1"/>
      <c r="W65" s="1"/>
      <c r="X65" s="1"/>
    </row>
    <row r="66" spans="21:24" s="7" customFormat="1" ht="12.75">
      <c r="U66" s="1"/>
      <c r="V66" s="1"/>
      <c r="W66" s="1"/>
      <c r="X66" s="1"/>
    </row>
    <row r="67" spans="21:24" s="7" customFormat="1" ht="12.75">
      <c r="U67" s="1"/>
      <c r="V67" s="1"/>
      <c r="W67" s="1"/>
      <c r="X67" s="1"/>
    </row>
    <row r="68" spans="21:24" s="7" customFormat="1" ht="12.75">
      <c r="U68" s="1"/>
      <c r="V68" s="1"/>
      <c r="W68" s="1"/>
      <c r="X68" s="1"/>
    </row>
    <row r="69" spans="21:24" s="7" customFormat="1" ht="12.75">
      <c r="U69" s="1"/>
      <c r="V69" s="1"/>
      <c r="W69" s="1"/>
      <c r="X69" s="1"/>
    </row>
    <row r="70" spans="21:24" s="7" customFormat="1" ht="12.75">
      <c r="U70" s="1"/>
      <c r="V70" s="1"/>
      <c r="W70" s="1"/>
      <c r="X70" s="1"/>
    </row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</sheetData>
  <sheetProtection password="CC03" sheet="1" formatCells="0" formatColumns="0" formatRows="0" selectLockedCells="1"/>
  <mergeCells count="86">
    <mergeCell ref="T35:U35"/>
    <mergeCell ref="A34:E34"/>
    <mergeCell ref="H34:J34"/>
    <mergeCell ref="L1:L53"/>
    <mergeCell ref="T41:U41"/>
    <mergeCell ref="A40:E40"/>
    <mergeCell ref="H40:J40"/>
    <mergeCell ref="H38:J38"/>
    <mergeCell ref="A39:E39"/>
    <mergeCell ref="H39:J39"/>
    <mergeCell ref="Q41:R41"/>
    <mergeCell ref="A38:E38"/>
    <mergeCell ref="Q32:R32"/>
    <mergeCell ref="A33:E33"/>
    <mergeCell ref="H33:J33"/>
    <mergeCell ref="Q35:R35"/>
    <mergeCell ref="A37:E37"/>
    <mergeCell ref="H37:J37"/>
    <mergeCell ref="A36:E36"/>
    <mergeCell ref="H36:J36"/>
    <mergeCell ref="T32:U32"/>
    <mergeCell ref="T28:U28"/>
    <mergeCell ref="A29:E29"/>
    <mergeCell ref="H29:J29"/>
    <mergeCell ref="A30:E30"/>
    <mergeCell ref="H30:J30"/>
    <mergeCell ref="A31:E31"/>
    <mergeCell ref="H31:J31"/>
    <mergeCell ref="H17:J17"/>
    <mergeCell ref="A27:E27"/>
    <mergeCell ref="H27:J27"/>
    <mergeCell ref="Q28:R28"/>
    <mergeCell ref="A26:E26"/>
    <mergeCell ref="H26:J26"/>
    <mergeCell ref="A25:E25"/>
    <mergeCell ref="H25:J25"/>
    <mergeCell ref="B9:C9"/>
    <mergeCell ref="F9:H9"/>
    <mergeCell ref="E14:K14"/>
    <mergeCell ref="A14:C14"/>
    <mergeCell ref="A13:K13"/>
    <mergeCell ref="F11:H11"/>
    <mergeCell ref="H16:J16"/>
    <mergeCell ref="B11:C11"/>
    <mergeCell ref="A45:K45"/>
    <mergeCell ref="G52:K52"/>
    <mergeCell ref="A48:E48"/>
    <mergeCell ref="A49:E49"/>
    <mergeCell ref="A52:E52"/>
    <mergeCell ref="A51:E51"/>
    <mergeCell ref="A46:K46"/>
    <mergeCell ref="A17:B17"/>
    <mergeCell ref="G1:K2"/>
    <mergeCell ref="G3:H3"/>
    <mergeCell ref="J3:K3"/>
    <mergeCell ref="A15:K15"/>
    <mergeCell ref="F1:F3"/>
    <mergeCell ref="A1:E1"/>
    <mergeCell ref="A2:B2"/>
    <mergeCell ref="A7:D7"/>
    <mergeCell ref="C2:E2"/>
    <mergeCell ref="C3:E3"/>
    <mergeCell ref="T24:U24"/>
    <mergeCell ref="Q24:R24"/>
    <mergeCell ref="H18:J18"/>
    <mergeCell ref="H21:J21"/>
    <mergeCell ref="H22:J22"/>
    <mergeCell ref="H23:J23"/>
    <mergeCell ref="B5:C5"/>
    <mergeCell ref="A23:E23"/>
    <mergeCell ref="C17:E17"/>
    <mergeCell ref="A18:B18"/>
    <mergeCell ref="C18:E18"/>
    <mergeCell ref="A16:E16"/>
    <mergeCell ref="A19:K19"/>
    <mergeCell ref="F5:H7"/>
    <mergeCell ref="A21:E21"/>
    <mergeCell ref="A22:E22"/>
    <mergeCell ref="G53:K53"/>
    <mergeCell ref="G51:K51"/>
    <mergeCell ref="E42:J42"/>
    <mergeCell ref="E43:J43"/>
    <mergeCell ref="E44:J44"/>
    <mergeCell ref="G49:K49"/>
    <mergeCell ref="G48:K48"/>
    <mergeCell ref="A53:E53"/>
  </mergeCells>
  <conditionalFormatting sqref="K5 K7 K9 K11">
    <cfRule type="cellIs" priority="1" dxfId="65" operator="equal" stopIfTrue="1">
      <formula>0</formula>
    </cfRule>
  </conditionalFormatting>
  <hyperlinks>
    <hyperlink ref="B11" r:id="rId1" display="montage@b95.ru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1"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Z64"/>
  <sheetViews>
    <sheetView showZeros="0" zoomScalePageLayoutView="0" workbookViewId="0" topLeftCell="A25">
      <selection activeCell="H21" sqref="H21:J21"/>
    </sheetView>
  </sheetViews>
  <sheetFormatPr defaultColWidth="9.00390625" defaultRowHeight="12.75"/>
  <cols>
    <col min="1" max="1" width="7.625" style="1" customWidth="1"/>
    <col min="2" max="2" width="10.00390625" style="1" customWidth="1"/>
    <col min="3" max="3" width="7.25390625" style="1" customWidth="1"/>
    <col min="4" max="4" width="7.875" style="1" customWidth="1"/>
    <col min="5" max="5" width="12.125" style="1" customWidth="1"/>
    <col min="6" max="6" width="10.75390625" style="1" customWidth="1"/>
    <col min="7" max="7" width="10.25390625" style="1" customWidth="1"/>
    <col min="8" max="8" width="10.75390625" style="1" customWidth="1"/>
    <col min="9" max="9" width="0.74609375" style="1" customWidth="1"/>
    <col min="10" max="10" width="10.125" style="1" customWidth="1"/>
    <col min="11" max="11" width="12.00390625" style="1" customWidth="1"/>
    <col min="12" max="12" width="4.00390625" style="7" customWidth="1"/>
    <col min="13" max="20" width="9.125" style="7" customWidth="1"/>
    <col min="21" max="16384" width="9.125" style="1" customWidth="1"/>
  </cols>
  <sheetData>
    <row r="1" spans="1:12" ht="30.75" customHeight="1">
      <c r="A1" s="1012" t="s">
        <v>692</v>
      </c>
      <c r="B1" s="1012"/>
      <c r="C1" s="1012"/>
      <c r="D1" s="1012"/>
      <c r="E1" s="1012"/>
      <c r="F1" s="1092">
        <v>5</v>
      </c>
      <c r="G1" s="1009" t="s">
        <v>269</v>
      </c>
      <c r="H1" s="1009"/>
      <c r="I1" s="1009"/>
      <c r="J1" s="1009"/>
      <c r="K1" s="1009"/>
      <c r="L1" s="1141"/>
    </row>
    <row r="2" spans="1:17" ht="27.75" customHeight="1">
      <c r="A2" s="1004" t="s">
        <v>696</v>
      </c>
      <c r="B2" s="1004"/>
      <c r="C2" s="1004" t="str">
        <f>'содержание '!C79</f>
        <v>ArmHiTec-2016</v>
      </c>
      <c r="D2" s="1004"/>
      <c r="E2" s="1004"/>
      <c r="F2" s="1092"/>
      <c r="G2" s="1009"/>
      <c r="H2" s="1009"/>
      <c r="I2" s="1009"/>
      <c r="J2" s="1009"/>
      <c r="K2" s="1009"/>
      <c r="L2" s="1141"/>
      <c r="N2" s="110"/>
      <c r="O2" s="110"/>
      <c r="P2" s="110"/>
      <c r="Q2" s="110"/>
    </row>
    <row r="3" spans="1:17" ht="13.5" customHeight="1">
      <c r="A3" s="417" t="s">
        <v>697</v>
      </c>
      <c r="B3" s="207" t="str">
        <f>CONCATENATE('содержание '!C104)</f>
        <v>/AHT</v>
      </c>
      <c r="C3" s="1052" t="s">
        <v>257</v>
      </c>
      <c r="D3" s="1052"/>
      <c r="E3" s="1052"/>
      <c r="F3" s="1093"/>
      <c r="G3" s="1094" t="s">
        <v>597</v>
      </c>
      <c r="H3" s="1094"/>
      <c r="I3" s="208"/>
      <c r="J3" s="1037" t="str">
        <f>CONCATENATE('содержание '!C95)</f>
        <v>14 сентября 2016 г.</v>
      </c>
      <c r="K3" s="1037"/>
      <c r="L3" s="1141"/>
      <c r="N3" s="110"/>
      <c r="O3" s="110"/>
      <c r="P3" s="110"/>
      <c r="Q3" s="110"/>
    </row>
    <row r="4" spans="1:24" ht="3.75" customHeight="1">
      <c r="A4" s="31"/>
      <c r="B4" s="34"/>
      <c r="C4" s="152"/>
      <c r="D4" s="152"/>
      <c r="E4" s="152"/>
      <c r="F4" s="152"/>
      <c r="G4" s="152"/>
      <c r="H4" s="177"/>
      <c r="I4" s="177"/>
      <c r="J4" s="149"/>
      <c r="K4" s="149"/>
      <c r="L4" s="1141"/>
      <c r="M4" s="149"/>
      <c r="N4" s="52"/>
      <c r="O4" s="52"/>
      <c r="Q4" s="22"/>
      <c r="R4" s="22"/>
      <c r="S4" s="22"/>
      <c r="U4" s="7"/>
      <c r="V4" s="7"/>
      <c r="W4" s="7"/>
      <c r="X4" s="7"/>
    </row>
    <row r="5" spans="1:24" ht="12" customHeight="1">
      <c r="A5" s="315" t="s">
        <v>121</v>
      </c>
      <c r="B5" s="721" t="s">
        <v>145</v>
      </c>
      <c r="C5" s="721"/>
      <c r="D5" s="721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728"/>
      <c r="I5" s="187"/>
      <c r="J5" s="686" t="s">
        <v>271</v>
      </c>
      <c r="K5" s="291">
        <f>'Заявка стр. 2'!L8</f>
        <v>0</v>
      </c>
      <c r="L5" s="1141"/>
      <c r="U5" s="7"/>
      <c r="V5" s="7"/>
      <c r="W5" s="7"/>
      <c r="X5" s="7"/>
    </row>
    <row r="6" spans="1:24" ht="2.25" customHeight="1">
      <c r="A6" s="193"/>
      <c r="B6" s="194"/>
      <c r="C6" s="167"/>
      <c r="D6" s="165"/>
      <c r="E6" s="155"/>
      <c r="F6" s="728"/>
      <c r="G6" s="728"/>
      <c r="H6" s="728"/>
      <c r="I6" s="187"/>
      <c r="J6" s="161"/>
      <c r="K6" s="157"/>
      <c r="L6" s="1141"/>
      <c r="U6" s="7"/>
      <c r="V6" s="7"/>
      <c r="W6" s="7"/>
      <c r="X6" s="7"/>
    </row>
    <row r="7" spans="1:24" ht="12" customHeight="1">
      <c r="A7" s="1112" t="s">
        <v>186</v>
      </c>
      <c r="B7" s="1112"/>
      <c r="C7" s="1112"/>
      <c r="D7" s="1112"/>
      <c r="E7" s="174"/>
      <c r="F7" s="818"/>
      <c r="G7" s="818"/>
      <c r="H7" s="818"/>
      <c r="I7" s="187"/>
      <c r="J7" s="153" t="s">
        <v>713</v>
      </c>
      <c r="K7" s="291">
        <f>'Заявка стр. 2'!L10</f>
        <v>0</v>
      </c>
      <c r="L7" s="1141"/>
      <c r="U7" s="7"/>
      <c r="V7" s="7"/>
      <c r="W7" s="7"/>
      <c r="X7" s="7"/>
    </row>
    <row r="8" spans="1:24" ht="2.25" customHeight="1">
      <c r="A8" s="166"/>
      <c r="B8" s="164"/>
      <c r="C8" s="167"/>
      <c r="D8" s="167"/>
      <c r="E8" s="157"/>
      <c r="G8" s="159"/>
      <c r="H8" s="181"/>
      <c r="I8" s="181"/>
      <c r="J8" s="154"/>
      <c r="K8" s="180"/>
      <c r="L8" s="1141"/>
      <c r="U8" s="7"/>
      <c r="V8" s="7"/>
      <c r="W8" s="7"/>
      <c r="X8" s="7"/>
    </row>
    <row r="9" spans="1:24" ht="12" customHeight="1">
      <c r="A9" s="170" t="s">
        <v>982</v>
      </c>
      <c r="B9" s="1140" t="str">
        <f>'Заявка стр. 2'!C12</f>
        <v> +7 (495) 937-40-81, доб.</v>
      </c>
      <c r="C9" s="1140"/>
      <c r="D9" s="168">
        <f>'Заявка стр. 2'!E12</f>
        <v>0</v>
      </c>
      <c r="E9" s="155" t="s">
        <v>977</v>
      </c>
      <c r="F9" s="871" t="str">
        <f>CONCATENATE('Заявка стр. 1'!A25)</f>
        <v>Симонова Наталья Владимировна</v>
      </c>
      <c r="G9" s="871"/>
      <c r="H9" s="871"/>
      <c r="I9" s="70"/>
      <c r="J9" s="153" t="s">
        <v>979</v>
      </c>
      <c r="K9" s="291">
        <f>'Заявка стр. 2'!L12</f>
        <v>0</v>
      </c>
      <c r="L9" s="1141"/>
      <c r="U9" s="7"/>
      <c r="V9" s="7"/>
      <c r="W9" s="7"/>
      <c r="X9" s="7"/>
    </row>
    <row r="10" spans="1:24" ht="2.25" customHeight="1">
      <c r="A10" s="166"/>
      <c r="B10" s="164"/>
      <c r="C10" s="164"/>
      <c r="D10" s="164"/>
      <c r="E10" s="160"/>
      <c r="F10" s="7"/>
      <c r="G10" s="174"/>
      <c r="H10" s="182"/>
      <c r="I10" s="182"/>
      <c r="J10" s="154"/>
      <c r="K10" s="180"/>
      <c r="L10" s="1141"/>
      <c r="U10" s="7"/>
      <c r="V10" s="7"/>
      <c r="W10" s="7"/>
      <c r="X10" s="7"/>
    </row>
    <row r="11" spans="1:24" ht="12" customHeight="1">
      <c r="A11" s="170" t="s">
        <v>595</v>
      </c>
      <c r="B11" s="1137" t="s">
        <v>146</v>
      </c>
      <c r="C11" s="721"/>
      <c r="D11" s="721"/>
      <c r="E11" s="174" t="s">
        <v>978</v>
      </c>
      <c r="F11" s="871" t="str">
        <f>CONCATENATE('Заявка стр. 1'!B27)</f>
        <v>(495) 276-52-71</v>
      </c>
      <c r="G11" s="871"/>
      <c r="H11" s="871"/>
      <c r="I11" s="70"/>
      <c r="J11" s="153"/>
      <c r="K11" s="180"/>
      <c r="L11" s="1141"/>
      <c r="U11" s="7"/>
      <c r="V11" s="7"/>
      <c r="W11" s="7"/>
      <c r="X11" s="7"/>
    </row>
    <row r="12" spans="1:24" ht="3.75" customHeight="1">
      <c r="A12" s="203"/>
      <c r="B12" s="204"/>
      <c r="C12" s="204"/>
      <c r="D12" s="204"/>
      <c r="E12" s="204"/>
      <c r="F12" s="203"/>
      <c r="G12" s="205"/>
      <c r="H12" s="202"/>
      <c r="I12" s="202"/>
      <c r="J12" s="202"/>
      <c r="K12" s="202"/>
      <c r="L12" s="1141"/>
      <c r="M12" s="182"/>
      <c r="N12" s="153"/>
      <c r="O12" s="180"/>
      <c r="P12" s="161"/>
      <c r="Q12" s="22"/>
      <c r="R12" s="22"/>
      <c r="S12" s="70"/>
      <c r="U12" s="7"/>
      <c r="V12" s="7"/>
      <c r="W12" s="7"/>
      <c r="X12" s="7"/>
    </row>
    <row r="13" spans="1:12" s="7" customFormat="1" ht="32.25" customHeight="1">
      <c r="A13" s="1145" t="s">
        <v>268</v>
      </c>
      <c r="B13" s="1145"/>
      <c r="C13" s="1145"/>
      <c r="D13" s="1145"/>
      <c r="E13" s="1145"/>
      <c r="F13" s="1145"/>
      <c r="G13" s="1145"/>
      <c r="H13" s="1145"/>
      <c r="I13" s="1145"/>
      <c r="J13" s="1145"/>
      <c r="K13" s="1145"/>
      <c r="L13" s="1141"/>
    </row>
    <row r="14" spans="1:12" s="7" customFormat="1" ht="17.25" customHeight="1">
      <c r="A14" s="1041" t="s">
        <v>571</v>
      </c>
      <c r="B14" s="1041"/>
      <c r="C14" s="1041"/>
      <c r="D14" s="36"/>
      <c r="E14" s="1117" t="s">
        <v>270</v>
      </c>
      <c r="F14" s="1041"/>
      <c r="G14" s="1041"/>
      <c r="H14" s="1041"/>
      <c r="I14" s="1041"/>
      <c r="J14" s="1041"/>
      <c r="K14" s="1041"/>
      <c r="L14" s="1141"/>
    </row>
    <row r="15" spans="1:12" s="7" customFormat="1" ht="13.5" customHeight="1">
      <c r="A15" s="1004" t="s">
        <v>921</v>
      </c>
      <c r="B15" s="1004"/>
      <c r="C15" s="1004"/>
      <c r="D15" s="1004"/>
      <c r="E15" s="1004"/>
      <c r="F15" s="1004"/>
      <c r="G15" s="1004"/>
      <c r="H15" s="1004"/>
      <c r="I15" s="1004"/>
      <c r="J15" s="1004"/>
      <c r="K15" s="1004"/>
      <c r="L15" s="1141"/>
    </row>
    <row r="16" spans="1:21" s="7" customFormat="1" ht="25.5" customHeight="1">
      <c r="A16" s="1063" t="s">
        <v>712</v>
      </c>
      <c r="B16" s="1063"/>
      <c r="C16" s="1063"/>
      <c r="D16" s="1063"/>
      <c r="E16" s="1063"/>
      <c r="F16" s="1121" t="s">
        <v>86</v>
      </c>
      <c r="G16" s="1123"/>
      <c r="H16" s="847" t="s">
        <v>706</v>
      </c>
      <c r="I16" s="847"/>
      <c r="J16" s="847"/>
      <c r="K16" s="197" t="s">
        <v>87</v>
      </c>
      <c r="L16" s="1141"/>
      <c r="M16" s="41"/>
      <c r="N16" s="41">
        <v>0</v>
      </c>
      <c r="O16" s="41"/>
      <c r="P16" s="41"/>
      <c r="Q16" s="94"/>
      <c r="R16" s="41"/>
      <c r="S16" s="41"/>
      <c r="T16" s="41"/>
      <c r="U16" s="41"/>
    </row>
    <row r="17" spans="1:21" s="7" customFormat="1" ht="15.75">
      <c r="A17" s="1138" t="s">
        <v>173</v>
      </c>
      <c r="B17" s="1146"/>
      <c r="C17" s="1146"/>
      <c r="D17" s="1146"/>
      <c r="E17" s="1146"/>
      <c r="F17" s="1139">
        <f>35*49</f>
        <v>1715</v>
      </c>
      <c r="G17" s="1139"/>
      <c r="H17" s="1120">
        <v>0</v>
      </c>
      <c r="I17" s="1120"/>
      <c r="J17" s="1120"/>
      <c r="K17" s="503">
        <f>F17*H17</f>
        <v>0</v>
      </c>
      <c r="L17" s="1141"/>
      <c r="M17" s="41"/>
      <c r="N17" s="96"/>
      <c r="O17" s="96"/>
      <c r="P17" s="96"/>
      <c r="Q17" s="96"/>
      <c r="R17" s="41"/>
      <c r="S17" s="41"/>
      <c r="T17" s="41"/>
      <c r="U17" s="41"/>
    </row>
    <row r="18" spans="1:21" s="7" customFormat="1" ht="21.75" customHeight="1">
      <c r="A18" s="1147" t="s">
        <v>174</v>
      </c>
      <c r="B18" s="1148"/>
      <c r="C18" s="1148"/>
      <c r="D18" s="1148"/>
      <c r="E18" s="1149"/>
      <c r="F18" s="1150">
        <v>15235</v>
      </c>
      <c r="G18" s="1151"/>
      <c r="H18" s="1120">
        <v>0</v>
      </c>
      <c r="I18" s="1120"/>
      <c r="J18" s="1120"/>
      <c r="K18" s="503">
        <f>F18*H18</f>
        <v>0</v>
      </c>
      <c r="L18" s="1141"/>
      <c r="M18" s="41"/>
      <c r="N18" s="96"/>
      <c r="O18" s="96"/>
      <c r="P18" s="96"/>
      <c r="Q18" s="96"/>
      <c r="R18" s="41"/>
      <c r="S18" s="41"/>
      <c r="T18" s="41"/>
      <c r="U18" s="41"/>
    </row>
    <row r="19" spans="1:21" s="7" customFormat="1" ht="4.5" customHeight="1">
      <c r="A19" s="150"/>
      <c r="B19" s="150"/>
      <c r="C19" s="150"/>
      <c r="D19" s="150"/>
      <c r="E19" s="150"/>
      <c r="F19" s="108"/>
      <c r="G19" s="108"/>
      <c r="H19" s="101"/>
      <c r="I19" s="101"/>
      <c r="J19" s="101"/>
      <c r="K19" s="114"/>
      <c r="L19" s="1141"/>
      <c r="M19" s="41"/>
      <c r="N19" s="96"/>
      <c r="O19" s="96"/>
      <c r="P19" s="96"/>
      <c r="Q19" s="96"/>
      <c r="R19" s="41"/>
      <c r="S19" s="41"/>
      <c r="T19" s="41"/>
      <c r="U19" s="41"/>
    </row>
    <row r="20" spans="1:21" s="7" customFormat="1" ht="25.5" customHeight="1">
      <c r="A20" s="1063" t="s">
        <v>212</v>
      </c>
      <c r="B20" s="1063"/>
      <c r="C20" s="1063"/>
      <c r="D20" s="1063"/>
      <c r="E20" s="1063"/>
      <c r="F20" s="847" t="s">
        <v>86</v>
      </c>
      <c r="G20" s="847"/>
      <c r="H20" s="847" t="s">
        <v>715</v>
      </c>
      <c r="I20" s="847"/>
      <c r="J20" s="847"/>
      <c r="K20" s="197" t="s">
        <v>87</v>
      </c>
      <c r="L20" s="1141"/>
      <c r="M20" s="41">
        <v>0</v>
      </c>
      <c r="N20" s="41"/>
      <c r="O20" s="41"/>
      <c r="P20" s="41"/>
      <c r="Q20" s="94"/>
      <c r="R20" s="41"/>
      <c r="S20" s="41"/>
      <c r="T20" s="41"/>
      <c r="U20" s="41"/>
    </row>
    <row r="21" spans="1:21" s="7" customFormat="1" ht="33.75" customHeight="1">
      <c r="A21" s="1138" t="s">
        <v>714</v>
      </c>
      <c r="B21" s="1138"/>
      <c r="C21" s="1138"/>
      <c r="D21" s="1138"/>
      <c r="E21" s="1138"/>
      <c r="F21" s="1139">
        <f>400*49</f>
        <v>19600</v>
      </c>
      <c r="G21" s="1139"/>
      <c r="H21" s="1120">
        <v>0</v>
      </c>
      <c r="I21" s="1120"/>
      <c r="J21" s="1120"/>
      <c r="K21" s="503">
        <f>F21*H21</f>
        <v>0</v>
      </c>
      <c r="L21" s="1141"/>
      <c r="M21" s="41"/>
      <c r="N21" s="96"/>
      <c r="O21" s="96"/>
      <c r="P21" s="96"/>
      <c r="Q21" s="96"/>
      <c r="R21" s="41"/>
      <c r="S21" s="41"/>
      <c r="T21" s="41"/>
      <c r="U21" s="41"/>
    </row>
    <row r="22" spans="1:21" s="7" customFormat="1" ht="3.75" customHeight="1">
      <c r="A22" s="150"/>
      <c r="B22" s="150"/>
      <c r="C22" s="150"/>
      <c r="D22" s="150"/>
      <c r="E22" s="150"/>
      <c r="F22" s="108"/>
      <c r="G22" s="108"/>
      <c r="H22" s="101"/>
      <c r="I22" s="101"/>
      <c r="J22" s="101"/>
      <c r="K22" s="114"/>
      <c r="L22" s="1141"/>
      <c r="M22" s="41"/>
      <c r="N22" s="96"/>
      <c r="O22" s="96"/>
      <c r="P22" s="96"/>
      <c r="Q22" s="96"/>
      <c r="R22" s="41"/>
      <c r="S22" s="41"/>
      <c r="T22" s="41"/>
      <c r="U22" s="41"/>
    </row>
    <row r="23" spans="1:21" s="7" customFormat="1" ht="4.5" customHeight="1">
      <c r="A23" s="150"/>
      <c r="B23" s="150"/>
      <c r="C23" s="150"/>
      <c r="D23" s="150"/>
      <c r="E23" s="150"/>
      <c r="F23" s="108"/>
      <c r="G23" s="108"/>
      <c r="H23" s="101"/>
      <c r="I23" s="101"/>
      <c r="J23" s="101"/>
      <c r="K23" s="114"/>
      <c r="L23" s="1141"/>
      <c r="M23" s="41"/>
      <c r="N23" s="96"/>
      <c r="O23" s="96"/>
      <c r="P23" s="96"/>
      <c r="Q23" s="96"/>
      <c r="R23" s="41"/>
      <c r="S23" s="41"/>
      <c r="T23" s="41"/>
      <c r="U23" s="41"/>
    </row>
    <row r="24" spans="1:21" s="7" customFormat="1" ht="25.5" customHeight="1">
      <c r="A24" s="1063" t="s">
        <v>211</v>
      </c>
      <c r="B24" s="1063"/>
      <c r="C24" s="1063"/>
      <c r="D24" s="1063"/>
      <c r="E24" s="1063"/>
      <c r="F24" s="847" t="s">
        <v>86</v>
      </c>
      <c r="G24" s="847"/>
      <c r="H24" s="847" t="s">
        <v>706</v>
      </c>
      <c r="I24" s="847"/>
      <c r="J24" s="847"/>
      <c r="K24" s="197" t="s">
        <v>87</v>
      </c>
      <c r="L24" s="1141"/>
      <c r="M24" s="41"/>
      <c r="N24" s="41"/>
      <c r="O24" s="41"/>
      <c r="P24" s="41"/>
      <c r="Q24" s="94"/>
      <c r="R24" s="41"/>
      <c r="S24" s="41"/>
      <c r="T24" s="41"/>
      <c r="U24" s="41"/>
    </row>
    <row r="25" spans="1:21" ht="21.75" customHeight="1">
      <c r="A25" s="1142" t="s">
        <v>866</v>
      </c>
      <c r="B25" s="1142"/>
      <c r="C25" s="1142"/>
      <c r="D25" s="1142"/>
      <c r="E25" s="1142"/>
      <c r="F25" s="1143">
        <f>70*49</f>
        <v>3430</v>
      </c>
      <c r="G25" s="1143"/>
      <c r="H25" s="1144">
        <v>0</v>
      </c>
      <c r="I25" s="1144"/>
      <c r="J25" s="1144"/>
      <c r="K25" s="503">
        <f>F25*H25</f>
        <v>0</v>
      </c>
      <c r="L25" s="1141"/>
      <c r="M25" s="41"/>
      <c r="N25" s="43"/>
      <c r="O25" s="95"/>
      <c r="P25" s="94"/>
      <c r="Q25" s="21"/>
      <c r="R25" s="45"/>
      <c r="S25" s="21"/>
      <c r="T25" s="21"/>
      <c r="U25" s="3"/>
    </row>
    <row r="26" spans="5:21" s="7" customFormat="1" ht="3.75" customHeight="1">
      <c r="E26" s="99"/>
      <c r="F26" s="108"/>
      <c r="G26" s="108"/>
      <c r="H26" s="109"/>
      <c r="I26" s="109"/>
      <c r="J26" s="109"/>
      <c r="K26" s="114"/>
      <c r="L26" s="1141"/>
      <c r="M26" s="43"/>
      <c r="N26" s="43"/>
      <c r="O26" s="95"/>
      <c r="P26" s="94"/>
      <c r="Q26" s="21"/>
      <c r="R26" s="45"/>
      <c r="S26" s="21"/>
      <c r="T26" s="21"/>
      <c r="U26" s="41"/>
    </row>
    <row r="27" spans="6:21" s="7" customFormat="1" ht="15.75" customHeight="1">
      <c r="F27" s="667"/>
      <c r="H27" s="667"/>
      <c r="I27" s="667"/>
      <c r="J27" s="668" t="s">
        <v>847</v>
      </c>
      <c r="K27" s="504">
        <f>SUM(K17,K18,K21,K25)</f>
        <v>0</v>
      </c>
      <c r="L27" s="1141"/>
      <c r="M27" s="43"/>
      <c r="N27" s="43"/>
      <c r="O27" s="97"/>
      <c r="P27" s="94"/>
      <c r="Q27" s="21"/>
      <c r="R27" s="21"/>
      <c r="S27" s="21"/>
      <c r="T27" s="21"/>
      <c r="U27" s="41"/>
    </row>
    <row r="28" spans="6:16" s="7" customFormat="1" ht="15.75" customHeight="1">
      <c r="F28" s="667"/>
      <c r="H28" s="667"/>
      <c r="I28" s="667"/>
      <c r="J28" s="668" t="s">
        <v>106</v>
      </c>
      <c r="K28" s="504">
        <f>K27*0.18</f>
        <v>0</v>
      </c>
      <c r="L28" s="1141"/>
      <c r="O28" s="95"/>
      <c r="P28" s="94"/>
    </row>
    <row r="29" spans="6:12" s="7" customFormat="1" ht="15.75" customHeight="1">
      <c r="F29" s="667"/>
      <c r="H29" s="667"/>
      <c r="I29" s="667"/>
      <c r="J29" s="668" t="s">
        <v>849</v>
      </c>
      <c r="K29" s="504">
        <f>K27+K28</f>
        <v>0</v>
      </c>
      <c r="L29" s="1141"/>
    </row>
    <row r="30" spans="1:12" ht="40.5" customHeight="1">
      <c r="A30" s="1113" t="s">
        <v>744</v>
      </c>
      <c r="B30" s="1113"/>
      <c r="C30" s="1113"/>
      <c r="D30" s="1113"/>
      <c r="E30" s="1113"/>
      <c r="F30" s="1113"/>
      <c r="G30" s="1113"/>
      <c r="H30" s="1113"/>
      <c r="I30" s="1113"/>
      <c r="J30" s="1113"/>
      <c r="K30" s="1113"/>
      <c r="L30" s="1141"/>
    </row>
    <row r="31" spans="1:12" ht="31.5" customHeight="1">
      <c r="A31" s="1113" t="s">
        <v>743</v>
      </c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41"/>
    </row>
    <row r="32" spans="12:26" s="7" customFormat="1" ht="6" customHeight="1">
      <c r="L32" s="1141"/>
      <c r="U32" s="1"/>
      <c r="V32" s="1"/>
      <c r="W32" s="1"/>
      <c r="X32" s="1"/>
      <c r="Y32" s="1"/>
      <c r="Z32" s="1"/>
    </row>
    <row r="33" spans="1:26" s="7" customFormat="1" ht="12.75">
      <c r="A33" s="7" t="s">
        <v>219</v>
      </c>
      <c r="L33" s="1141"/>
      <c r="U33" s="1"/>
      <c r="V33" s="1"/>
      <c r="W33" s="1"/>
      <c r="X33" s="1"/>
      <c r="Y33" s="1"/>
      <c r="Z33" s="1"/>
    </row>
    <row r="34" spans="1:26" s="7" customFormat="1" ht="12.75" customHeight="1">
      <c r="A34" s="984" t="s">
        <v>319</v>
      </c>
      <c r="B34" s="984"/>
      <c r="C34" s="984"/>
      <c r="D34" s="984"/>
      <c r="E34" s="984"/>
      <c r="F34" s="47" t="s">
        <v>564</v>
      </c>
      <c r="G34" s="1014" t="str">
        <f>CONCATENATE('Заявка стр. 1'!B4)</f>
        <v>АО "Научно-производственный центр "Вигстар"</v>
      </c>
      <c r="H34" s="1014"/>
      <c r="I34" s="1014"/>
      <c r="J34" s="1014"/>
      <c r="K34" s="1014"/>
      <c r="L34" s="1141"/>
      <c r="U34" s="1"/>
      <c r="V34" s="1"/>
      <c r="W34" s="1"/>
      <c r="X34" s="1"/>
      <c r="Y34" s="1"/>
      <c r="Z34" s="1"/>
    </row>
    <row r="35" spans="1:26" s="7" customFormat="1" ht="15.75" customHeight="1">
      <c r="A35" s="989" t="s">
        <v>1091</v>
      </c>
      <c r="B35" s="990"/>
      <c r="C35" s="990"/>
      <c r="D35" s="990"/>
      <c r="E35" s="990"/>
      <c r="F35" s="47"/>
      <c r="G35" s="704" t="str">
        <f>CONCATENATE('Заявка стр. 1'!B17)</f>
        <v>Заместитель генерального директора по экономике и финансам</v>
      </c>
      <c r="H35" s="704"/>
      <c r="I35" s="704"/>
      <c r="J35" s="704"/>
      <c r="K35" s="704"/>
      <c r="L35" s="1141"/>
      <c r="U35" s="1"/>
      <c r="V35" s="1"/>
      <c r="W35" s="1"/>
      <c r="X35" s="1"/>
      <c r="Y35" s="1"/>
      <c r="Z35" s="1"/>
    </row>
    <row r="36" spans="1:26" s="7" customFormat="1" ht="15.75" customHeight="1">
      <c r="A36" s="623" t="s">
        <v>729</v>
      </c>
      <c r="B36" s="48"/>
      <c r="C36" s="48"/>
      <c r="D36" s="48"/>
      <c r="E36" s="48"/>
      <c r="F36" s="47"/>
      <c r="G36" s="584"/>
      <c r="H36" s="584"/>
      <c r="I36" s="584"/>
      <c r="J36" s="584"/>
      <c r="K36" s="584"/>
      <c r="L36" s="1141"/>
      <c r="U36" s="1"/>
      <c r="V36" s="1"/>
      <c r="W36" s="1"/>
      <c r="X36" s="1"/>
      <c r="Y36" s="1"/>
      <c r="Z36" s="1"/>
    </row>
    <row r="37" spans="1:26" s="7" customFormat="1" ht="16.5" customHeight="1">
      <c r="A37" s="991" t="s">
        <v>720</v>
      </c>
      <c r="B37" s="992"/>
      <c r="C37" s="992"/>
      <c r="D37" s="992"/>
      <c r="E37" s="992"/>
      <c r="F37" s="44"/>
      <c r="G37" s="988" t="str">
        <f>CONCATENATE('Заявка стр. 1'!A19)</f>
        <v>Короткевич Олег Иосифович</v>
      </c>
      <c r="H37" s="988"/>
      <c r="I37" s="988"/>
      <c r="J37" s="988"/>
      <c r="K37" s="988"/>
      <c r="L37" s="1141"/>
      <c r="U37" s="1"/>
      <c r="V37" s="1"/>
      <c r="W37" s="1"/>
      <c r="X37" s="1"/>
      <c r="Y37" s="1"/>
      <c r="Z37" s="1"/>
    </row>
    <row r="38" spans="1:12" ht="19.5" customHeight="1">
      <c r="A38" s="1081" t="s">
        <v>562</v>
      </c>
      <c r="B38" s="1081"/>
      <c r="C38" s="1081"/>
      <c r="D38" s="1081"/>
      <c r="E38" s="1081"/>
      <c r="F38" s="44"/>
      <c r="G38" s="1082" t="s">
        <v>414</v>
      </c>
      <c r="H38" s="1082"/>
      <c r="I38" s="1082"/>
      <c r="J38" s="1082"/>
      <c r="K38" s="1082"/>
      <c r="L38" s="1141"/>
    </row>
    <row r="39" spans="1:12" ht="21" customHeight="1">
      <c r="A39" s="982" t="s">
        <v>747</v>
      </c>
      <c r="B39" s="982"/>
      <c r="C39" s="982"/>
      <c r="D39" s="982"/>
      <c r="E39" s="982"/>
      <c r="F39" s="5"/>
      <c r="G39" s="820" t="s">
        <v>747</v>
      </c>
      <c r="H39" s="820"/>
      <c r="I39" s="820"/>
      <c r="J39" s="820"/>
      <c r="K39" s="820"/>
      <c r="L39" s="1141"/>
    </row>
    <row r="40" spans="1:12" ht="12.75">
      <c r="A40" s="7"/>
      <c r="B40" s="7"/>
      <c r="C40" s="7"/>
      <c r="D40" s="7"/>
      <c r="E40" s="40"/>
      <c r="F40" s="40"/>
      <c r="G40" s="7"/>
      <c r="H40" s="7"/>
      <c r="I40" s="7"/>
      <c r="J40" s="7"/>
      <c r="K40" s="7"/>
      <c r="L40" s="500"/>
    </row>
    <row r="41" spans="1:12" ht="12.75">
      <c r="A41" s="7"/>
      <c r="B41" s="7"/>
      <c r="C41" s="7"/>
      <c r="D41" s="7"/>
      <c r="E41" s="40"/>
      <c r="F41" s="105"/>
      <c r="G41" s="7"/>
      <c r="H41" s="7"/>
      <c r="I41" s="7"/>
      <c r="J41" s="7"/>
      <c r="K41" s="7"/>
      <c r="L41" s="500"/>
    </row>
    <row r="42" spans="1:1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500"/>
    </row>
    <row r="43" spans="1:1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500"/>
    </row>
    <row r="44" spans="1:1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500"/>
    </row>
    <row r="45" spans="1:1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500"/>
    </row>
    <row r="46" spans="1:1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500"/>
    </row>
    <row r="47" spans="1:1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500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500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500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500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500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1:26" s="7" customFormat="1" ht="12.75">
      <c r="U57" s="1"/>
      <c r="V57" s="1"/>
      <c r="W57" s="1"/>
      <c r="X57" s="1"/>
      <c r="Y57" s="1"/>
      <c r="Z57" s="1"/>
    </row>
    <row r="58" spans="21:26" s="7" customFormat="1" ht="12.75">
      <c r="U58" s="1"/>
      <c r="V58" s="1"/>
      <c r="W58" s="1"/>
      <c r="X58" s="1"/>
      <c r="Y58" s="1"/>
      <c r="Z58" s="1"/>
    </row>
    <row r="59" spans="21:26" s="7" customFormat="1" ht="12.75">
      <c r="U59" s="1"/>
      <c r="V59" s="1"/>
      <c r="W59" s="1"/>
      <c r="X59" s="1"/>
      <c r="Y59" s="1"/>
      <c r="Z59" s="1"/>
    </row>
    <row r="60" spans="21:26" s="7" customFormat="1" ht="12.75">
      <c r="U60" s="1"/>
      <c r="V60" s="1"/>
      <c r="W60" s="1"/>
      <c r="X60" s="1"/>
      <c r="Y60" s="1"/>
      <c r="Z60" s="1"/>
    </row>
    <row r="61" spans="21:26" s="7" customFormat="1" ht="12.75">
      <c r="U61" s="1"/>
      <c r="V61" s="1"/>
      <c r="W61" s="1"/>
      <c r="X61" s="1"/>
      <c r="Y61" s="1"/>
      <c r="Z61" s="1"/>
    </row>
    <row r="62" spans="21:26" s="7" customFormat="1" ht="12.75">
      <c r="U62" s="1"/>
      <c r="V62" s="1"/>
      <c r="W62" s="1"/>
      <c r="X62" s="1"/>
      <c r="Y62" s="1"/>
      <c r="Z62" s="1"/>
    </row>
    <row r="63" spans="21:26" s="7" customFormat="1" ht="12.75">
      <c r="U63" s="1"/>
      <c r="V63" s="1"/>
      <c r="W63" s="1"/>
      <c r="X63" s="1"/>
      <c r="Y63" s="1"/>
      <c r="Z63" s="1"/>
    </row>
    <row r="64" spans="21:26" s="7" customFormat="1" ht="12.75">
      <c r="U64" s="1"/>
      <c r="V64" s="1"/>
      <c r="W64" s="1"/>
      <c r="X64" s="1"/>
      <c r="Y64" s="1"/>
      <c r="Z64" s="1"/>
    </row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</sheetData>
  <sheetProtection password="CC03" sheet="1" objects="1" scenarios="1" formatCells="0" formatColumns="0" formatRows="0" selectLockedCells="1"/>
  <mergeCells count="53">
    <mergeCell ref="A30:K30"/>
    <mergeCell ref="F11:H11"/>
    <mergeCell ref="A18:E18"/>
    <mergeCell ref="F18:G18"/>
    <mergeCell ref="A24:E24"/>
    <mergeCell ref="F17:G17"/>
    <mergeCell ref="F24:G24"/>
    <mergeCell ref="H24:J24"/>
    <mergeCell ref="L1:L39"/>
    <mergeCell ref="A25:E25"/>
    <mergeCell ref="F25:G25"/>
    <mergeCell ref="H25:J25"/>
    <mergeCell ref="A20:E20"/>
    <mergeCell ref="F20:G20"/>
    <mergeCell ref="H20:J20"/>
    <mergeCell ref="A13:K13"/>
    <mergeCell ref="E14:K14"/>
    <mergeCell ref="A16:E16"/>
    <mergeCell ref="A21:E21"/>
    <mergeCell ref="F21:G21"/>
    <mergeCell ref="B9:C9"/>
    <mergeCell ref="A14:C14"/>
    <mergeCell ref="C3:E3"/>
    <mergeCell ref="G3:H3"/>
    <mergeCell ref="H21:J21"/>
    <mergeCell ref="H16:J16"/>
    <mergeCell ref="A17:E17"/>
    <mergeCell ref="B11:D11"/>
    <mergeCell ref="A7:D7"/>
    <mergeCell ref="F16:G16"/>
    <mergeCell ref="F5:H7"/>
    <mergeCell ref="F9:H9"/>
    <mergeCell ref="B5:D5"/>
    <mergeCell ref="A38:E38"/>
    <mergeCell ref="A15:K15"/>
    <mergeCell ref="A1:E1"/>
    <mergeCell ref="G1:K2"/>
    <mergeCell ref="F1:F3"/>
    <mergeCell ref="A2:B2"/>
    <mergeCell ref="C2:E2"/>
    <mergeCell ref="J3:K3"/>
    <mergeCell ref="H18:J18"/>
    <mergeCell ref="H17:J17"/>
    <mergeCell ref="G39:K39"/>
    <mergeCell ref="G37:K37"/>
    <mergeCell ref="G34:K34"/>
    <mergeCell ref="G35:K35"/>
    <mergeCell ref="G38:K38"/>
    <mergeCell ref="A31:K31"/>
    <mergeCell ref="A39:E39"/>
    <mergeCell ref="A34:E34"/>
    <mergeCell ref="A35:E35"/>
    <mergeCell ref="A37:E37"/>
  </mergeCells>
  <conditionalFormatting sqref="K5 K7 K9 K11">
    <cfRule type="cellIs" priority="1" dxfId="65" operator="equal" stopIfTrue="1">
      <formula>0</formula>
    </cfRule>
  </conditionalFormatting>
  <conditionalFormatting sqref="B11:D11 B9 D9">
    <cfRule type="cellIs" priority="2" dxfId="66" operator="equal" stopIfTrue="1">
      <formula>0</formula>
    </cfRule>
  </conditionalFormatting>
  <hyperlinks>
    <hyperlink ref="B11" r:id="rId1" display="gerasimova@b95.ru"/>
  </hyperlink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Y87"/>
  <sheetViews>
    <sheetView zoomScalePageLayoutView="0" workbookViewId="0" topLeftCell="A1">
      <selection activeCell="H18" sqref="H18:I18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11.375" style="1" customWidth="1"/>
    <col min="4" max="4" width="0.74609375" style="1" customWidth="1"/>
    <col min="5" max="5" width="13.25390625" style="1" customWidth="1"/>
    <col min="6" max="6" width="11.875" style="1" customWidth="1"/>
    <col min="7" max="7" width="8.125" style="1" customWidth="1"/>
    <col min="8" max="8" width="10.75390625" style="1" customWidth="1"/>
    <col min="9" max="9" width="9.625" style="1" customWidth="1"/>
    <col min="10" max="10" width="12.875" style="1" customWidth="1"/>
    <col min="11" max="11" width="6.25390625" style="7" customWidth="1"/>
    <col min="12" max="19" width="9.125" style="7" customWidth="1"/>
    <col min="20" max="16384" width="9.125" style="1" customWidth="1"/>
  </cols>
  <sheetData>
    <row r="1" spans="1:11" ht="26.25" customHeight="1">
      <c r="A1" s="1012" t="s">
        <v>693</v>
      </c>
      <c r="B1" s="1012"/>
      <c r="C1" s="1012"/>
      <c r="D1" s="1012"/>
      <c r="E1" s="1012"/>
      <c r="F1" s="1092">
        <v>6</v>
      </c>
      <c r="G1" s="1009" t="s">
        <v>240</v>
      </c>
      <c r="H1" s="1009"/>
      <c r="I1" s="1009"/>
      <c r="J1" s="1009"/>
      <c r="K1" s="1104"/>
    </row>
    <row r="2" spans="1:11" ht="27.75" customHeight="1">
      <c r="A2" s="1004" t="s">
        <v>696</v>
      </c>
      <c r="B2" s="1004"/>
      <c r="C2" s="1004" t="str">
        <f>'содержание '!C79</f>
        <v>ArmHiTec-2016</v>
      </c>
      <c r="D2" s="1004"/>
      <c r="E2" s="1004"/>
      <c r="F2" s="1092"/>
      <c r="G2" s="1009"/>
      <c r="H2" s="1009"/>
      <c r="I2" s="1009"/>
      <c r="J2" s="1009"/>
      <c r="K2" s="1104"/>
    </row>
    <row r="3" spans="1:11" ht="12.75" customHeight="1">
      <c r="A3" s="417" t="s">
        <v>697</v>
      </c>
      <c r="B3" s="207" t="str">
        <f>CONCATENATE('содержание '!C104)</f>
        <v>/AHT</v>
      </c>
      <c r="C3" s="1052" t="s">
        <v>257</v>
      </c>
      <c r="D3" s="1052"/>
      <c r="E3" s="1052"/>
      <c r="F3" s="1093"/>
      <c r="G3" s="1094" t="s">
        <v>597</v>
      </c>
      <c r="H3" s="1094"/>
      <c r="I3" s="1037" t="str">
        <f>CONCATENATE('содержание '!C95)</f>
        <v>14 сентября 2016 г.</v>
      </c>
      <c r="J3" s="1037"/>
      <c r="K3" s="1104"/>
    </row>
    <row r="4" spans="1:25" ht="3.75" customHeight="1">
      <c r="A4" s="31"/>
      <c r="B4" s="34"/>
      <c r="C4" s="152"/>
      <c r="D4" s="152"/>
      <c r="E4" s="152"/>
      <c r="F4" s="152"/>
      <c r="G4" s="152"/>
      <c r="H4" s="152"/>
      <c r="I4" s="177"/>
      <c r="J4" s="177"/>
      <c r="K4" s="1104"/>
      <c r="L4" s="149"/>
      <c r="M4" s="149"/>
      <c r="N4" s="149"/>
      <c r="O4" s="52"/>
      <c r="P4" s="52"/>
      <c r="R4" s="22"/>
      <c r="S4" s="22"/>
      <c r="T4" s="22"/>
      <c r="U4" s="7"/>
      <c r="V4" s="7"/>
      <c r="W4" s="7"/>
      <c r="X4" s="7"/>
      <c r="Y4" s="7"/>
    </row>
    <row r="5" spans="1:25" ht="12" customHeight="1">
      <c r="A5" s="315" t="s">
        <v>121</v>
      </c>
      <c r="B5" s="721" t="s">
        <v>981</v>
      </c>
      <c r="C5" s="721"/>
      <c r="D5" s="191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728"/>
      <c r="I5" s="686" t="s">
        <v>272</v>
      </c>
      <c r="J5" s="291">
        <f>'Заявка стр. 2'!L8</f>
        <v>0</v>
      </c>
      <c r="K5" s="1104"/>
      <c r="T5" s="7"/>
      <c r="U5" s="7"/>
      <c r="V5" s="7"/>
      <c r="W5" s="7"/>
      <c r="X5" s="7"/>
      <c r="Y5" s="7"/>
    </row>
    <row r="6" spans="1:11" s="7" customFormat="1" ht="2.25" customHeight="1">
      <c r="A6" s="193"/>
      <c r="B6" s="194"/>
      <c r="C6" s="165"/>
      <c r="D6" s="165"/>
      <c r="E6" s="155"/>
      <c r="F6" s="728"/>
      <c r="G6" s="728"/>
      <c r="H6" s="728"/>
      <c r="I6" s="161"/>
      <c r="J6" s="157"/>
      <c r="K6" s="1104"/>
    </row>
    <row r="7" spans="1:25" ht="12" customHeight="1">
      <c r="A7" s="721" t="s">
        <v>980</v>
      </c>
      <c r="B7" s="721"/>
      <c r="C7" s="721"/>
      <c r="D7" s="191"/>
      <c r="E7" s="174"/>
      <c r="F7" s="818"/>
      <c r="G7" s="818"/>
      <c r="H7" s="818"/>
      <c r="I7" s="153" t="s">
        <v>713</v>
      </c>
      <c r="J7" s="291">
        <f>'Заявка стр. 2'!L10</f>
        <v>0</v>
      </c>
      <c r="K7" s="1104"/>
      <c r="T7" s="7"/>
      <c r="U7" s="7"/>
      <c r="V7" s="7"/>
      <c r="W7" s="7"/>
      <c r="X7" s="7"/>
      <c r="Y7" s="7"/>
    </row>
    <row r="8" spans="1:11" s="7" customFormat="1" ht="2.25" customHeight="1">
      <c r="A8" s="166"/>
      <c r="B8" s="164"/>
      <c r="C8" s="167"/>
      <c r="D8" s="167"/>
      <c r="E8" s="157"/>
      <c r="G8" s="159"/>
      <c r="H8" s="181"/>
      <c r="I8" s="154"/>
      <c r="J8" s="180"/>
      <c r="K8" s="1104"/>
    </row>
    <row r="9" spans="1:25" ht="12" customHeight="1">
      <c r="A9" s="170" t="s">
        <v>982</v>
      </c>
      <c r="B9" s="724" t="s">
        <v>1052</v>
      </c>
      <c r="C9" s="724"/>
      <c r="D9" s="192"/>
      <c r="E9" s="155" t="s">
        <v>977</v>
      </c>
      <c r="F9" s="871" t="str">
        <f>CONCATENATE('Заявка стр. 1'!A25)</f>
        <v>Симонова Наталья Владимировна</v>
      </c>
      <c r="G9" s="871"/>
      <c r="H9" s="871"/>
      <c r="I9" s="153" t="s">
        <v>979</v>
      </c>
      <c r="J9" s="291">
        <f>'Заявка стр. 2'!L12</f>
        <v>0</v>
      </c>
      <c r="K9" s="1104"/>
      <c r="T9" s="7"/>
      <c r="U9" s="7"/>
      <c r="V9" s="7"/>
      <c r="W9" s="7"/>
      <c r="X9" s="7"/>
      <c r="Y9" s="7"/>
    </row>
    <row r="10" spans="1:11" s="7" customFormat="1" ht="2.25" customHeight="1">
      <c r="A10" s="166"/>
      <c r="B10" s="164"/>
      <c r="C10" s="164"/>
      <c r="D10" s="164"/>
      <c r="E10" s="160"/>
      <c r="G10" s="174"/>
      <c r="H10" s="182"/>
      <c r="I10" s="154"/>
      <c r="J10" s="180"/>
      <c r="K10" s="1104"/>
    </row>
    <row r="11" spans="1:25" ht="12" customHeight="1">
      <c r="A11" s="170" t="s">
        <v>595</v>
      </c>
      <c r="B11" s="1162" t="s">
        <v>570</v>
      </c>
      <c r="C11" s="1163"/>
      <c r="D11" s="78"/>
      <c r="E11" s="173" t="s">
        <v>978</v>
      </c>
      <c r="F11" s="871" t="str">
        <f>CONCATENATE('Заявка стр. 1'!B27)</f>
        <v>(495) 276-52-71</v>
      </c>
      <c r="G11" s="871"/>
      <c r="H11" s="871"/>
      <c r="I11" s="153"/>
      <c r="J11" s="180"/>
      <c r="K11" s="1104"/>
      <c r="T11" s="7"/>
      <c r="U11" s="7"/>
      <c r="V11" s="7"/>
      <c r="W11" s="7"/>
      <c r="X11" s="7"/>
      <c r="Y11" s="7"/>
    </row>
    <row r="12" spans="1:25" ht="2.25" customHeight="1">
      <c r="A12" s="203"/>
      <c r="B12" s="204"/>
      <c r="C12" s="204"/>
      <c r="D12" s="204"/>
      <c r="E12" s="204"/>
      <c r="F12" s="204"/>
      <c r="G12" s="203"/>
      <c r="H12" s="205"/>
      <c r="I12" s="202"/>
      <c r="J12" s="202"/>
      <c r="K12" s="1104"/>
      <c r="L12" s="70"/>
      <c r="M12" s="70"/>
      <c r="N12" s="182"/>
      <c r="O12" s="153"/>
      <c r="P12" s="180"/>
      <c r="Q12" s="161"/>
      <c r="R12" s="22"/>
      <c r="S12" s="22"/>
      <c r="T12" s="70"/>
      <c r="U12" s="7"/>
      <c r="V12" s="7"/>
      <c r="W12" s="7"/>
      <c r="X12" s="7"/>
      <c r="Y12" s="7"/>
    </row>
    <row r="13" spans="1:13" s="7" customFormat="1" ht="37.5" customHeight="1">
      <c r="A13" s="1113" t="s">
        <v>1016</v>
      </c>
      <c r="B13" s="1113"/>
      <c r="C13" s="1113"/>
      <c r="D13" s="1113"/>
      <c r="E13" s="1113"/>
      <c r="F13" s="1113"/>
      <c r="G13" s="1113"/>
      <c r="H13" s="1113"/>
      <c r="I13" s="1113"/>
      <c r="J13" s="1113"/>
      <c r="K13" s="1104"/>
      <c r="L13" s="22"/>
      <c r="M13" s="22"/>
    </row>
    <row r="14" spans="1:11" s="7" customFormat="1" ht="14.25" customHeight="1">
      <c r="A14" s="1041" t="s">
        <v>571</v>
      </c>
      <c r="B14" s="1041"/>
      <c r="C14" s="1041"/>
      <c r="D14" s="36"/>
      <c r="E14" s="1117" t="str">
        <f>'содержание '!C87</f>
        <v>с 13 по 15 октября 2016 г.</v>
      </c>
      <c r="F14" s="1156"/>
      <c r="G14" s="1156"/>
      <c r="H14" s="1156"/>
      <c r="I14" s="1156"/>
      <c r="J14" s="1156"/>
      <c r="K14" s="1104"/>
    </row>
    <row r="15" spans="5:20" s="7" customFormat="1" ht="4.5" customHeight="1">
      <c r="E15" s="99"/>
      <c r="F15" s="46"/>
      <c r="G15" s="46"/>
      <c r="H15" s="101"/>
      <c r="I15" s="101"/>
      <c r="J15" s="114"/>
      <c r="K15" s="1104"/>
      <c r="L15" s="41"/>
      <c r="M15" s="21"/>
      <c r="N15" s="21"/>
      <c r="O15" s="21"/>
      <c r="P15" s="94"/>
      <c r="Q15" s="41"/>
      <c r="R15" s="41"/>
      <c r="S15" s="41"/>
      <c r="T15" s="41"/>
    </row>
    <row r="16" spans="1:20" s="7" customFormat="1" ht="14.25" customHeight="1">
      <c r="A16" s="1062" t="s">
        <v>651</v>
      </c>
      <c r="B16" s="1062"/>
      <c r="C16" s="1062"/>
      <c r="D16" s="1062"/>
      <c r="E16" s="1062"/>
      <c r="F16" s="1062"/>
      <c r="G16" s="1062"/>
      <c r="H16" s="1062"/>
      <c r="I16" s="1062"/>
      <c r="J16" s="1062"/>
      <c r="K16" s="1104"/>
      <c r="L16" s="22"/>
      <c r="M16" s="21"/>
      <c r="N16" s="21"/>
      <c r="O16" s="21"/>
      <c r="P16" s="94"/>
      <c r="Q16" s="43"/>
      <c r="R16" s="43"/>
      <c r="S16" s="43"/>
      <c r="T16" s="22"/>
    </row>
    <row r="17" spans="1:15" ht="25.5" customHeight="1">
      <c r="A17" s="1157" t="s">
        <v>709</v>
      </c>
      <c r="B17" s="1157"/>
      <c r="C17" s="1157"/>
      <c r="D17" s="1157"/>
      <c r="E17" s="1157"/>
      <c r="F17" s="1155" t="s">
        <v>86</v>
      </c>
      <c r="G17" s="1155"/>
      <c r="H17" s="1155" t="s">
        <v>708</v>
      </c>
      <c r="I17" s="1155"/>
      <c r="J17" s="398" t="s">
        <v>89</v>
      </c>
      <c r="K17" s="1104"/>
      <c r="N17" s="95"/>
      <c r="O17" s="94"/>
    </row>
    <row r="18" spans="1:15" ht="47.25" customHeight="1">
      <c r="A18" s="1153" t="s">
        <v>888</v>
      </c>
      <c r="B18" s="1153"/>
      <c r="C18" s="1153"/>
      <c r="D18" s="1153"/>
      <c r="E18" s="1153"/>
      <c r="F18" s="1154">
        <f>367*49</f>
        <v>17983</v>
      </c>
      <c r="G18" s="1154"/>
      <c r="H18" s="1152">
        <v>0</v>
      </c>
      <c r="I18" s="1152"/>
      <c r="J18" s="591">
        <f aca="true" t="shared" si="0" ref="J18:J23">F18*H18</f>
        <v>0</v>
      </c>
      <c r="K18" s="1104"/>
      <c r="L18" s="41"/>
      <c r="N18" s="95"/>
      <c r="O18" s="94"/>
    </row>
    <row r="19" spans="1:15" ht="47.25" customHeight="1">
      <c r="A19" s="1153" t="s">
        <v>589</v>
      </c>
      <c r="B19" s="1153"/>
      <c r="C19" s="1153"/>
      <c r="D19" s="1153"/>
      <c r="E19" s="1153"/>
      <c r="F19" s="1154">
        <f>600*49</f>
        <v>29400</v>
      </c>
      <c r="G19" s="1154"/>
      <c r="H19" s="1152">
        <v>0</v>
      </c>
      <c r="I19" s="1152"/>
      <c r="J19" s="591">
        <f t="shared" si="0"/>
        <v>0</v>
      </c>
      <c r="K19" s="1104"/>
      <c r="L19" s="41"/>
      <c r="N19" s="95"/>
      <c r="O19" s="94"/>
    </row>
    <row r="20" spans="1:15" ht="48.75" customHeight="1">
      <c r="A20" s="1153" t="s">
        <v>327</v>
      </c>
      <c r="B20" s="1153"/>
      <c r="C20" s="1153"/>
      <c r="D20" s="1153"/>
      <c r="E20" s="1153"/>
      <c r="F20" s="1154">
        <f>777*49</f>
        <v>38073</v>
      </c>
      <c r="G20" s="1154"/>
      <c r="H20" s="1152">
        <v>0</v>
      </c>
      <c r="I20" s="1152"/>
      <c r="J20" s="591">
        <f t="shared" si="0"/>
        <v>0</v>
      </c>
      <c r="K20" s="1104"/>
      <c r="L20" s="41"/>
      <c r="N20" s="95"/>
      <c r="O20" s="94"/>
    </row>
    <row r="21" spans="1:15" ht="50.25" customHeight="1">
      <c r="A21" s="1153" t="s">
        <v>328</v>
      </c>
      <c r="B21" s="1153"/>
      <c r="C21" s="1153"/>
      <c r="D21" s="1153"/>
      <c r="E21" s="1153"/>
      <c r="F21" s="1154">
        <f>1067*49</f>
        <v>52283</v>
      </c>
      <c r="G21" s="1154"/>
      <c r="H21" s="1152">
        <v>0</v>
      </c>
      <c r="I21" s="1152"/>
      <c r="J21" s="591">
        <f>F21*H21</f>
        <v>0</v>
      </c>
      <c r="K21" s="1104"/>
      <c r="L21" s="41"/>
      <c r="N21" s="95"/>
      <c r="O21" s="94"/>
    </row>
    <row r="22" spans="1:15" ht="18" customHeight="1">
      <c r="A22" s="1153" t="s">
        <v>329</v>
      </c>
      <c r="B22" s="1153"/>
      <c r="C22" s="1153"/>
      <c r="D22" s="1153"/>
      <c r="E22" s="1153"/>
      <c r="F22" s="1154">
        <v>10800</v>
      </c>
      <c r="G22" s="1154"/>
      <c r="H22" s="1152">
        <v>0</v>
      </c>
      <c r="I22" s="1152"/>
      <c r="J22" s="591">
        <f t="shared" si="0"/>
        <v>0</v>
      </c>
      <c r="K22" s="1104"/>
      <c r="L22" s="41"/>
      <c r="N22" s="95"/>
      <c r="O22" s="94"/>
    </row>
    <row r="23" spans="1:15" ht="30" customHeight="1">
      <c r="A23" s="1153" t="s">
        <v>330</v>
      </c>
      <c r="B23" s="1153"/>
      <c r="C23" s="1153"/>
      <c r="D23" s="1153"/>
      <c r="E23" s="1153"/>
      <c r="F23" s="1154">
        <f>400*49</f>
        <v>19600</v>
      </c>
      <c r="G23" s="1154"/>
      <c r="H23" s="1152">
        <v>0</v>
      </c>
      <c r="I23" s="1152"/>
      <c r="J23" s="591">
        <f t="shared" si="0"/>
        <v>0</v>
      </c>
      <c r="K23" s="1104"/>
      <c r="L23" s="41"/>
      <c r="N23" s="95"/>
      <c r="O23" s="94"/>
    </row>
    <row r="24" spans="1:20" s="22" customFormat="1" ht="24.75" customHeight="1">
      <c r="A24" s="1165" t="s">
        <v>1047</v>
      </c>
      <c r="B24" s="1165"/>
      <c r="C24" s="1165"/>
      <c r="D24" s="1165"/>
      <c r="E24" s="1165"/>
      <c r="F24" s="1165"/>
      <c r="G24" s="1165"/>
      <c r="H24" s="1165"/>
      <c r="I24" s="1165"/>
      <c r="J24" s="1165"/>
      <c r="K24" s="1104"/>
      <c r="L24" s="41"/>
      <c r="M24" s="41"/>
      <c r="N24" s="96"/>
      <c r="O24" s="96"/>
      <c r="P24" s="21"/>
      <c r="Q24" s="21"/>
      <c r="R24" s="21"/>
      <c r="S24" s="21"/>
      <c r="T24" s="41"/>
    </row>
    <row r="25" spans="1:20" s="22" customFormat="1" ht="15" customHeight="1">
      <c r="A25" s="1062" t="s">
        <v>129</v>
      </c>
      <c r="B25" s="1062"/>
      <c r="C25" s="1062"/>
      <c r="D25" s="1062"/>
      <c r="E25" s="1062"/>
      <c r="F25" s="1062"/>
      <c r="G25" s="1062"/>
      <c r="H25" s="1062"/>
      <c r="I25" s="1062"/>
      <c r="J25" s="1062"/>
      <c r="K25" s="1104"/>
      <c r="L25" s="41"/>
      <c r="M25" s="41"/>
      <c r="N25" s="96"/>
      <c r="O25" s="96"/>
      <c r="P25" s="21"/>
      <c r="Q25" s="21"/>
      <c r="R25" s="21"/>
      <c r="S25" s="21"/>
      <c r="T25" s="41"/>
    </row>
    <row r="26" spans="1:15" ht="25.5" customHeight="1">
      <c r="A26" s="1157" t="s">
        <v>127</v>
      </c>
      <c r="B26" s="1157"/>
      <c r="C26" s="1157"/>
      <c r="D26" s="1157"/>
      <c r="E26" s="1157"/>
      <c r="F26" s="1155" t="s">
        <v>109</v>
      </c>
      <c r="G26" s="1155"/>
      <c r="H26" s="1155" t="s">
        <v>710</v>
      </c>
      <c r="I26" s="1155"/>
      <c r="J26" s="398" t="s">
        <v>964</v>
      </c>
      <c r="K26" s="1104"/>
      <c r="N26" s="95"/>
      <c r="O26" s="94"/>
    </row>
    <row r="27" spans="1:15" ht="15.75">
      <c r="A27" s="1153" t="s">
        <v>711</v>
      </c>
      <c r="B27" s="1153"/>
      <c r="C27" s="1153"/>
      <c r="D27" s="1153"/>
      <c r="E27" s="1153"/>
      <c r="F27" s="1154">
        <v>4200</v>
      </c>
      <c r="G27" s="1154"/>
      <c r="H27" s="1152">
        <v>0</v>
      </c>
      <c r="I27" s="1152"/>
      <c r="J27" s="591">
        <f>F27*H27</f>
        <v>0</v>
      </c>
      <c r="K27" s="1104"/>
      <c r="L27" s="41"/>
      <c r="N27" s="95"/>
      <c r="O27" s="94"/>
    </row>
    <row r="28" spans="1:20" ht="15.75">
      <c r="A28" s="1153" t="s">
        <v>968</v>
      </c>
      <c r="B28" s="1153"/>
      <c r="C28" s="1153"/>
      <c r="D28" s="1153"/>
      <c r="E28" s="1153"/>
      <c r="F28" s="1154">
        <f>245*49</f>
        <v>12005</v>
      </c>
      <c r="G28" s="1154"/>
      <c r="H28" s="1152">
        <v>0</v>
      </c>
      <c r="I28" s="1152"/>
      <c r="J28" s="591">
        <f>F28*H28</f>
        <v>0</v>
      </c>
      <c r="K28" s="1104"/>
      <c r="L28" s="41"/>
      <c r="M28" s="41"/>
      <c r="N28" s="96"/>
      <c r="O28" s="96"/>
      <c r="P28" s="21"/>
      <c r="Q28" s="21"/>
      <c r="R28" s="21"/>
      <c r="S28" s="21"/>
      <c r="T28" s="3"/>
    </row>
    <row r="29" spans="1:20" ht="15.75">
      <c r="A29" s="1153" t="s">
        <v>966</v>
      </c>
      <c r="B29" s="1153"/>
      <c r="C29" s="1153"/>
      <c r="D29" s="1153"/>
      <c r="E29" s="1153"/>
      <c r="F29" s="1154">
        <f>311*49</f>
        <v>15239</v>
      </c>
      <c r="G29" s="1154"/>
      <c r="H29" s="1152">
        <v>0</v>
      </c>
      <c r="I29" s="1152"/>
      <c r="J29" s="591">
        <f>F29*H29</f>
        <v>0</v>
      </c>
      <c r="K29" s="1104"/>
      <c r="L29" s="41"/>
      <c r="M29" s="41"/>
      <c r="N29" s="96"/>
      <c r="O29" s="96"/>
      <c r="P29" s="21"/>
      <c r="Q29" s="21"/>
      <c r="R29" s="21"/>
      <c r="S29" s="21"/>
      <c r="T29" s="3"/>
    </row>
    <row r="30" spans="1:20" ht="15.75">
      <c r="A30" s="1153" t="s">
        <v>967</v>
      </c>
      <c r="B30" s="1153"/>
      <c r="C30" s="1153"/>
      <c r="D30" s="1153"/>
      <c r="E30" s="1153"/>
      <c r="F30" s="1154">
        <f>422*49</f>
        <v>20678</v>
      </c>
      <c r="G30" s="1154"/>
      <c r="H30" s="1152">
        <v>0</v>
      </c>
      <c r="I30" s="1152"/>
      <c r="J30" s="591">
        <f>F30*H30</f>
        <v>0</v>
      </c>
      <c r="K30" s="1104"/>
      <c r="L30" s="41"/>
      <c r="M30" s="41"/>
      <c r="N30" s="96"/>
      <c r="O30" s="96"/>
      <c r="P30" s="21"/>
      <c r="Q30" s="21"/>
      <c r="R30" s="21"/>
      <c r="S30" s="21"/>
      <c r="T30" s="3"/>
    </row>
    <row r="31" spans="1:20" ht="33" customHeight="1">
      <c r="A31" s="1153" t="s">
        <v>700</v>
      </c>
      <c r="B31" s="1153"/>
      <c r="C31" s="1153"/>
      <c r="D31" s="1153"/>
      <c r="E31" s="1153"/>
      <c r="F31" s="1154">
        <v>3600</v>
      </c>
      <c r="G31" s="1154"/>
      <c r="H31" s="1152">
        <v>0</v>
      </c>
      <c r="I31" s="1152"/>
      <c r="J31" s="591">
        <f>F31*H31</f>
        <v>0</v>
      </c>
      <c r="K31" s="1104"/>
      <c r="L31" s="41"/>
      <c r="M31" s="41"/>
      <c r="N31" s="96"/>
      <c r="O31" s="96"/>
      <c r="P31" s="21"/>
      <c r="Q31" s="21"/>
      <c r="R31" s="21"/>
      <c r="S31" s="21"/>
      <c r="T31" s="3"/>
    </row>
    <row r="32" spans="1:20" s="22" customFormat="1" ht="3" customHeight="1">
      <c r="A32" s="1165"/>
      <c r="B32" s="1165"/>
      <c r="C32" s="1165"/>
      <c r="D32" s="1165"/>
      <c r="E32" s="1165"/>
      <c r="F32" s="1165"/>
      <c r="G32" s="1165"/>
      <c r="H32" s="1165"/>
      <c r="I32" s="1165"/>
      <c r="J32" s="1165"/>
      <c r="K32" s="1104"/>
      <c r="L32" s="41"/>
      <c r="M32" s="41"/>
      <c r="N32" s="96"/>
      <c r="O32" s="96"/>
      <c r="P32" s="21"/>
      <c r="Q32" s="21"/>
      <c r="R32" s="21"/>
      <c r="S32" s="21"/>
      <c r="T32" s="41"/>
    </row>
    <row r="33" spans="1:20" ht="12.75" customHeight="1">
      <c r="A33" s="1055" t="s">
        <v>220</v>
      </c>
      <c r="B33" s="1166"/>
      <c r="C33" s="418"/>
      <c r="D33" s="99"/>
      <c r="E33" s="387" t="s">
        <v>131</v>
      </c>
      <c r="F33" s="418"/>
      <c r="G33" s="388" t="s">
        <v>632</v>
      </c>
      <c r="H33" s="418"/>
      <c r="I33" s="1158" t="s">
        <v>633</v>
      </c>
      <c r="J33" s="1158"/>
      <c r="K33" s="1104"/>
      <c r="Q33" s="21"/>
      <c r="R33" s="21"/>
      <c r="S33" s="21"/>
      <c r="T33" s="3"/>
    </row>
    <row r="34" spans="1:20" s="7" customFormat="1" ht="3" customHeight="1">
      <c r="A34" s="150"/>
      <c r="B34" s="150"/>
      <c r="C34" s="150"/>
      <c r="D34" s="150"/>
      <c r="E34" s="150"/>
      <c r="F34" s="183"/>
      <c r="G34" s="183"/>
      <c r="H34" s="109"/>
      <c r="I34" s="109"/>
      <c r="J34" s="100"/>
      <c r="K34" s="1104"/>
      <c r="L34" s="41"/>
      <c r="M34" s="41"/>
      <c r="N34" s="96"/>
      <c r="O34" s="96"/>
      <c r="P34" s="21"/>
      <c r="Q34" s="21"/>
      <c r="R34" s="21"/>
      <c r="S34" s="21"/>
      <c r="T34" s="41"/>
    </row>
    <row r="35" spans="1:15" ht="25.5" customHeight="1">
      <c r="A35" s="1157" t="s">
        <v>128</v>
      </c>
      <c r="B35" s="1157"/>
      <c r="C35" s="1157"/>
      <c r="D35" s="1157"/>
      <c r="E35" s="1157"/>
      <c r="F35" s="1155" t="s">
        <v>109</v>
      </c>
      <c r="G35" s="1155"/>
      <c r="H35" s="1155" t="s">
        <v>710</v>
      </c>
      <c r="I35" s="1155"/>
      <c r="J35" s="398" t="s">
        <v>87</v>
      </c>
      <c r="K35" s="1104"/>
      <c r="N35" s="95"/>
      <c r="O35" s="94"/>
    </row>
    <row r="36" spans="1:20" ht="15.75">
      <c r="A36" s="1153" t="s">
        <v>548</v>
      </c>
      <c r="B36" s="1153"/>
      <c r="C36" s="1153"/>
      <c r="D36" s="1153"/>
      <c r="E36" s="1153"/>
      <c r="F36" s="1154">
        <f>467*49</f>
        <v>22883</v>
      </c>
      <c r="G36" s="1154"/>
      <c r="H36" s="1152">
        <v>0</v>
      </c>
      <c r="I36" s="1152"/>
      <c r="J36" s="591">
        <f>F36*H36</f>
        <v>0</v>
      </c>
      <c r="K36" s="1104"/>
      <c r="L36" s="41"/>
      <c r="M36" s="41"/>
      <c r="N36" s="96"/>
      <c r="O36" s="96"/>
      <c r="P36" s="21"/>
      <c r="Q36" s="21"/>
      <c r="R36" s="21"/>
      <c r="S36" s="21"/>
      <c r="T36" s="3"/>
    </row>
    <row r="37" spans="1:20" s="22" customFormat="1" ht="6" customHeight="1">
      <c r="A37" s="1167"/>
      <c r="B37" s="1167"/>
      <c r="C37" s="1167"/>
      <c r="D37" s="1167"/>
      <c r="E37" s="1167"/>
      <c r="F37" s="1159"/>
      <c r="G37" s="1159"/>
      <c r="H37" s="1160"/>
      <c r="I37" s="1160"/>
      <c r="J37" s="100"/>
      <c r="K37" s="1104"/>
      <c r="L37" s="41"/>
      <c r="M37" s="41"/>
      <c r="N37" s="96"/>
      <c r="O37" s="96"/>
      <c r="P37" s="21"/>
      <c r="Q37" s="21"/>
      <c r="R37" s="21"/>
      <c r="S37" s="21"/>
      <c r="T37" s="41"/>
    </row>
    <row r="38" spans="1:15" ht="25.5" customHeight="1">
      <c r="A38" s="1157" t="s">
        <v>236</v>
      </c>
      <c r="B38" s="1157"/>
      <c r="C38" s="1157"/>
      <c r="D38" s="1157"/>
      <c r="E38" s="1157"/>
      <c r="F38" s="1155" t="s">
        <v>109</v>
      </c>
      <c r="G38" s="1155"/>
      <c r="H38" s="1155" t="s">
        <v>710</v>
      </c>
      <c r="I38" s="1155"/>
      <c r="J38" s="398" t="s">
        <v>108</v>
      </c>
      <c r="K38" s="1104"/>
      <c r="N38" s="95"/>
      <c r="O38" s="94"/>
    </row>
    <row r="39" spans="1:20" ht="15.75">
      <c r="A39" s="1153" t="s">
        <v>549</v>
      </c>
      <c r="B39" s="1153"/>
      <c r="C39" s="1153"/>
      <c r="D39" s="1153"/>
      <c r="E39" s="1153"/>
      <c r="F39" s="1154">
        <f>123*49</f>
        <v>6027</v>
      </c>
      <c r="G39" s="1154"/>
      <c r="H39" s="1152">
        <v>0</v>
      </c>
      <c r="I39" s="1152"/>
      <c r="J39" s="591">
        <f>F39*H39</f>
        <v>0</v>
      </c>
      <c r="K39" s="1104"/>
      <c r="L39" s="41"/>
      <c r="M39" s="41"/>
      <c r="N39" s="96"/>
      <c r="O39" s="96"/>
      <c r="P39" s="21"/>
      <c r="Q39" s="21"/>
      <c r="R39" s="21"/>
      <c r="S39" s="21"/>
      <c r="T39" s="3"/>
    </row>
    <row r="40" spans="5:20" s="22" customFormat="1" ht="3" customHeight="1">
      <c r="E40" s="99"/>
      <c r="F40" s="46"/>
      <c r="G40" s="46"/>
      <c r="H40" s="101"/>
      <c r="I40" s="101"/>
      <c r="J40" s="100"/>
      <c r="K40" s="1104"/>
      <c r="L40" s="41"/>
      <c r="M40" s="41"/>
      <c r="N40" s="96"/>
      <c r="O40" s="96"/>
      <c r="P40" s="21"/>
      <c r="Q40" s="21"/>
      <c r="R40" s="21"/>
      <c r="S40" s="21"/>
      <c r="T40" s="41"/>
    </row>
    <row r="41" spans="1:15" ht="25.5" customHeight="1">
      <c r="A41" s="1157" t="s">
        <v>237</v>
      </c>
      <c r="B41" s="1157"/>
      <c r="C41" s="1157"/>
      <c r="D41" s="1157"/>
      <c r="E41" s="1157"/>
      <c r="F41" s="1155" t="s">
        <v>109</v>
      </c>
      <c r="G41" s="1155"/>
      <c r="H41" s="1155" t="s">
        <v>710</v>
      </c>
      <c r="I41" s="1155"/>
      <c r="J41" s="398" t="s">
        <v>108</v>
      </c>
      <c r="K41" s="1104"/>
      <c r="N41" s="95"/>
      <c r="O41" s="94"/>
    </row>
    <row r="42" spans="1:20" ht="24" customHeight="1">
      <c r="A42" s="1161" t="s">
        <v>331</v>
      </c>
      <c r="B42" s="1161"/>
      <c r="C42" s="1161"/>
      <c r="D42" s="1161"/>
      <c r="E42" s="1161"/>
      <c r="F42" s="1154">
        <f>556*49</f>
        <v>27244</v>
      </c>
      <c r="G42" s="1154"/>
      <c r="H42" s="1152">
        <v>0</v>
      </c>
      <c r="I42" s="1152"/>
      <c r="J42" s="591">
        <f>F42*H42</f>
        <v>0</v>
      </c>
      <c r="K42" s="500"/>
      <c r="L42" s="41"/>
      <c r="M42" s="41"/>
      <c r="N42" s="96"/>
      <c r="O42" s="96"/>
      <c r="P42" s="21"/>
      <c r="Q42" s="21"/>
      <c r="R42" s="21"/>
      <c r="S42" s="21"/>
      <c r="T42" s="3"/>
    </row>
    <row r="43" spans="1:20" ht="15.75" customHeight="1">
      <c r="A43" s="1153" t="s">
        <v>238</v>
      </c>
      <c r="B43" s="1153"/>
      <c r="C43" s="1153"/>
      <c r="D43" s="1153"/>
      <c r="E43" s="1153"/>
      <c r="F43" s="1154">
        <f>89*49</f>
        <v>4361</v>
      </c>
      <c r="G43" s="1154"/>
      <c r="H43" s="1152">
        <v>0</v>
      </c>
      <c r="I43" s="1152"/>
      <c r="J43" s="591">
        <f>F43*H43</f>
        <v>0</v>
      </c>
      <c r="K43" s="500"/>
      <c r="L43" s="41"/>
      <c r="M43" s="41"/>
      <c r="N43" s="96"/>
      <c r="O43" s="96"/>
      <c r="P43" s="21"/>
      <c r="Q43" s="21"/>
      <c r="R43" s="21"/>
      <c r="S43" s="21"/>
      <c r="T43" s="3"/>
    </row>
    <row r="44" spans="5:20" s="22" customFormat="1" ht="1.5" customHeight="1">
      <c r="E44" s="99"/>
      <c r="F44" s="46"/>
      <c r="G44" s="46"/>
      <c r="H44" s="101"/>
      <c r="I44" s="101"/>
      <c r="J44" s="100"/>
      <c r="K44" s="500"/>
      <c r="L44" s="41"/>
      <c r="M44" s="41"/>
      <c r="N44" s="96"/>
      <c r="O44" s="96"/>
      <c r="P44" s="21"/>
      <c r="Q44" s="21"/>
      <c r="R44" s="21"/>
      <c r="S44" s="21"/>
      <c r="T44" s="41"/>
    </row>
    <row r="45" spans="1:15" ht="25.5" customHeight="1">
      <c r="A45" s="1157" t="s">
        <v>239</v>
      </c>
      <c r="B45" s="1157"/>
      <c r="C45" s="1157"/>
      <c r="D45" s="1157"/>
      <c r="E45" s="1157"/>
      <c r="F45" s="1155" t="s">
        <v>109</v>
      </c>
      <c r="G45" s="1155"/>
      <c r="H45" s="1155" t="s">
        <v>710</v>
      </c>
      <c r="I45" s="1155"/>
      <c r="J45" s="398" t="s">
        <v>87</v>
      </c>
      <c r="K45" s="500"/>
      <c r="N45" s="95"/>
      <c r="O45" s="94"/>
    </row>
    <row r="46" spans="1:20" ht="15.75">
      <c r="A46" s="1153"/>
      <c r="B46" s="1153"/>
      <c r="C46" s="1153"/>
      <c r="D46" s="1153"/>
      <c r="E46" s="1153"/>
      <c r="F46" s="1154"/>
      <c r="G46" s="1154"/>
      <c r="H46" s="1152"/>
      <c r="I46" s="1152"/>
      <c r="J46" s="591">
        <f>F46*H46</f>
        <v>0</v>
      </c>
      <c r="K46" s="500"/>
      <c r="L46" s="41"/>
      <c r="M46" s="41"/>
      <c r="N46" s="96"/>
      <c r="O46" s="96"/>
      <c r="P46" s="21"/>
      <c r="Q46" s="21"/>
      <c r="R46" s="21"/>
      <c r="S46" s="21"/>
      <c r="T46" s="3"/>
    </row>
    <row r="47" spans="1:20" ht="15.75">
      <c r="A47" s="1153"/>
      <c r="B47" s="1153"/>
      <c r="C47" s="1153"/>
      <c r="D47" s="1153"/>
      <c r="E47" s="1153"/>
      <c r="F47" s="1154"/>
      <c r="G47" s="1154"/>
      <c r="H47" s="1152"/>
      <c r="I47" s="1152"/>
      <c r="J47" s="591">
        <f>F47*H47</f>
        <v>0</v>
      </c>
      <c r="K47" s="500"/>
      <c r="L47" s="41"/>
      <c r="M47" s="41"/>
      <c r="N47" s="96"/>
      <c r="O47" s="96"/>
      <c r="P47" s="21"/>
      <c r="Q47" s="21"/>
      <c r="R47" s="21"/>
      <c r="S47" s="21"/>
      <c r="T47" s="3"/>
    </row>
    <row r="48" spans="5:20" s="22" customFormat="1" ht="4.5" customHeight="1">
      <c r="E48" s="99"/>
      <c r="F48" s="46"/>
      <c r="G48" s="46"/>
      <c r="H48" s="101"/>
      <c r="I48" s="101"/>
      <c r="J48" s="100"/>
      <c r="K48" s="500"/>
      <c r="L48" s="41"/>
      <c r="M48" s="41"/>
      <c r="N48" s="96"/>
      <c r="O48" s="96"/>
      <c r="P48" s="21"/>
      <c r="Q48" s="21"/>
      <c r="R48" s="21"/>
      <c r="S48" s="21"/>
      <c r="T48" s="41"/>
    </row>
    <row r="49" spans="5:20" s="7" customFormat="1" ht="15.75">
      <c r="E49" s="1069" t="s">
        <v>107</v>
      </c>
      <c r="F49" s="1069"/>
      <c r="G49" s="1069"/>
      <c r="H49" s="1069"/>
      <c r="I49" s="1164"/>
      <c r="J49" s="665">
        <f>SUM(J18:J23,J27:J31,J36:J36,J39:J39,J42:J43,J46:J47)</f>
        <v>0</v>
      </c>
      <c r="K49" s="500"/>
      <c r="L49" s="43"/>
      <c r="M49" s="43"/>
      <c r="N49" s="97"/>
      <c r="O49" s="94"/>
      <c r="P49" s="21"/>
      <c r="Q49" s="45"/>
      <c r="R49" s="21"/>
      <c r="S49" s="21"/>
      <c r="T49" s="41"/>
    </row>
    <row r="50" spans="5:20" s="7" customFormat="1" ht="15.75">
      <c r="E50" s="1069" t="s">
        <v>103</v>
      </c>
      <c r="F50" s="1069"/>
      <c r="G50" s="1069"/>
      <c r="H50" s="1069"/>
      <c r="I50" s="1164"/>
      <c r="J50" s="665">
        <f>J49*0.18</f>
        <v>0</v>
      </c>
      <c r="K50" s="500"/>
      <c r="L50" s="43"/>
      <c r="M50" s="43"/>
      <c r="N50" s="95"/>
      <c r="O50" s="94"/>
      <c r="P50" s="21"/>
      <c r="Q50" s="45"/>
      <c r="R50" s="21"/>
      <c r="S50" s="21"/>
      <c r="T50" s="41"/>
    </row>
    <row r="51" spans="5:20" s="7" customFormat="1" ht="15.75">
      <c r="E51" s="1069" t="s">
        <v>82</v>
      </c>
      <c r="F51" s="1069"/>
      <c r="G51" s="1069"/>
      <c r="H51" s="1069"/>
      <c r="I51" s="1164"/>
      <c r="J51" s="666">
        <f>J49+J50</f>
        <v>0</v>
      </c>
      <c r="K51" s="500"/>
      <c r="L51" s="43"/>
      <c r="M51" s="43"/>
      <c r="N51" s="97"/>
      <c r="O51" s="94"/>
      <c r="P51" s="21"/>
      <c r="Q51" s="21"/>
      <c r="R51" s="21"/>
      <c r="S51" s="21"/>
      <c r="T51" s="41"/>
    </row>
    <row r="52" spans="5:20" s="22" customFormat="1" ht="4.5" customHeight="1">
      <c r="E52" s="99"/>
      <c r="F52" s="46"/>
      <c r="G52" s="46"/>
      <c r="H52" s="101"/>
      <c r="I52" s="101"/>
      <c r="J52" s="100"/>
      <c r="L52" s="41"/>
      <c r="M52" s="41"/>
      <c r="N52" s="96"/>
      <c r="O52" s="96"/>
      <c r="P52" s="21"/>
      <c r="Q52" s="21"/>
      <c r="R52" s="21"/>
      <c r="S52" s="21"/>
      <c r="T52" s="41"/>
    </row>
    <row r="53" spans="5:20" s="7" customFormat="1" ht="12.75" customHeight="1" hidden="1">
      <c r="E53" s="1069" t="s">
        <v>649</v>
      </c>
      <c r="F53" s="1069"/>
      <c r="G53" s="1069"/>
      <c r="H53" s="1069"/>
      <c r="I53" s="1164"/>
      <c r="J53" s="200">
        <f>J49*'содержание '!D106</f>
        <v>0</v>
      </c>
      <c r="K53" s="43"/>
      <c r="L53" s="43"/>
      <c r="M53" s="43"/>
      <c r="N53" s="97"/>
      <c r="O53" s="94"/>
      <c r="P53" s="21"/>
      <c r="Q53" s="45"/>
      <c r="R53" s="21"/>
      <c r="S53" s="21"/>
      <c r="T53" s="41"/>
    </row>
    <row r="54" spans="5:20" s="7" customFormat="1" ht="12.75" customHeight="1" hidden="1">
      <c r="E54" s="1069" t="s">
        <v>643</v>
      </c>
      <c r="F54" s="1069"/>
      <c r="G54" s="1069"/>
      <c r="H54" s="1069"/>
      <c r="I54" s="1164"/>
      <c r="J54" s="200">
        <f>J53*0.18</f>
        <v>0</v>
      </c>
      <c r="K54" s="43"/>
      <c r="L54" s="43"/>
      <c r="M54" s="43"/>
      <c r="N54" s="95"/>
      <c r="O54" s="94"/>
      <c r="P54" s="21"/>
      <c r="Q54" s="45"/>
      <c r="R54" s="21"/>
      <c r="S54" s="21"/>
      <c r="T54" s="41"/>
    </row>
    <row r="55" spans="5:20" s="7" customFormat="1" ht="14.25" customHeight="1" hidden="1">
      <c r="E55" s="1069" t="s">
        <v>1084</v>
      </c>
      <c r="F55" s="1069"/>
      <c r="G55" s="1069"/>
      <c r="H55" s="1069"/>
      <c r="I55" s="1164"/>
      <c r="J55" s="201">
        <f>J53+J54</f>
        <v>0</v>
      </c>
      <c r="K55" s="43"/>
      <c r="L55" s="43"/>
      <c r="M55" s="43"/>
      <c r="N55" s="97"/>
      <c r="O55" s="94"/>
      <c r="P55" s="21"/>
      <c r="Q55" s="21"/>
      <c r="R55" s="21"/>
      <c r="S55" s="21"/>
      <c r="T55" s="41"/>
    </row>
    <row r="56" spans="1:10" ht="5.25" customHeight="1" hidden="1">
      <c r="A56" s="7"/>
      <c r="B56" s="7"/>
      <c r="C56" s="7"/>
      <c r="D56" s="7"/>
      <c r="E56" s="102"/>
      <c r="F56" s="102"/>
      <c r="G56" s="102"/>
      <c r="H56" s="102"/>
      <c r="I56" s="103"/>
      <c r="J56" s="46"/>
    </row>
    <row r="57" spans="1:10" ht="53.25" customHeight="1">
      <c r="A57" s="1113" t="s">
        <v>83</v>
      </c>
      <c r="B57" s="1113"/>
      <c r="C57" s="1113"/>
      <c r="D57" s="1113"/>
      <c r="E57" s="1113"/>
      <c r="F57" s="1113"/>
      <c r="G57" s="1113"/>
      <c r="H57" s="1113"/>
      <c r="I57" s="1113"/>
      <c r="J57" s="1113"/>
    </row>
    <row r="58" spans="1:20" ht="53.25" customHeight="1">
      <c r="A58" s="1113" t="s">
        <v>609</v>
      </c>
      <c r="B58" s="1113"/>
      <c r="C58" s="1113"/>
      <c r="D58" s="1113"/>
      <c r="E58" s="1113"/>
      <c r="F58" s="1113"/>
      <c r="G58" s="1113"/>
      <c r="H58" s="1113"/>
      <c r="I58" s="1113"/>
      <c r="J58" s="1113"/>
      <c r="K58" s="42"/>
      <c r="T58" s="7"/>
    </row>
    <row r="59" spans="1:20" ht="25.5" customHeight="1">
      <c r="A59" s="1113" t="s">
        <v>1076</v>
      </c>
      <c r="B59" s="1113"/>
      <c r="C59" s="1113"/>
      <c r="D59" s="1113"/>
      <c r="E59" s="1113"/>
      <c r="F59" s="1113"/>
      <c r="G59" s="1113"/>
      <c r="H59" s="1113"/>
      <c r="I59" s="1113"/>
      <c r="J59" s="1113"/>
      <c r="K59" s="42"/>
      <c r="T59" s="7"/>
    </row>
    <row r="60" spans="1:10" ht="19.5" customHeight="1">
      <c r="A60" s="7" t="s">
        <v>1077</v>
      </c>
      <c r="B60" s="7"/>
      <c r="C60" s="7"/>
      <c r="D60" s="7"/>
      <c r="E60" s="7"/>
      <c r="F60" s="7"/>
      <c r="G60" s="7"/>
      <c r="H60" s="7"/>
      <c r="I60" s="7"/>
      <c r="J60" s="7"/>
    </row>
    <row r="61" spans="1:19" s="624" customFormat="1" ht="19.5" customHeight="1">
      <c r="A61" s="989" t="s">
        <v>319</v>
      </c>
      <c r="B61" s="989"/>
      <c r="C61" s="989"/>
      <c r="D61" s="989"/>
      <c r="E61" s="989"/>
      <c r="F61" s="44" t="s">
        <v>564</v>
      </c>
      <c r="G61" s="710" t="str">
        <f>CONCATENATE('Заявка стр. 1'!B4)</f>
        <v>АО "Научно-производственный центр "Вигстар"</v>
      </c>
      <c r="H61" s="710"/>
      <c r="I61" s="710"/>
      <c r="J61" s="710"/>
      <c r="K61" s="369"/>
      <c r="L61" s="369"/>
      <c r="M61" s="369"/>
      <c r="N61" s="369"/>
      <c r="O61" s="369"/>
      <c r="P61" s="369"/>
      <c r="Q61" s="369"/>
      <c r="R61" s="369"/>
      <c r="S61" s="369"/>
    </row>
    <row r="62" spans="1:10" ht="12" customHeight="1">
      <c r="A62" s="989" t="s">
        <v>1092</v>
      </c>
      <c r="B62" s="990"/>
      <c r="C62" s="990"/>
      <c r="D62" s="990"/>
      <c r="E62" s="990"/>
      <c r="F62" s="47"/>
      <c r="G62" s="704" t="str">
        <f>CONCATENATE('Заявка стр. 1'!B17)</f>
        <v>Заместитель генерального директора по экономике и финансам</v>
      </c>
      <c r="H62" s="704"/>
      <c r="I62" s="704"/>
      <c r="J62" s="704"/>
    </row>
    <row r="63" spans="1:10" ht="12" customHeight="1">
      <c r="A63" s="623" t="s">
        <v>729</v>
      </c>
      <c r="B63" s="48"/>
      <c r="C63" s="48"/>
      <c r="D63" s="48"/>
      <c r="E63" s="48"/>
      <c r="F63" s="47"/>
      <c r="G63" s="584"/>
      <c r="H63" s="584"/>
      <c r="I63" s="584"/>
      <c r="J63" s="584"/>
    </row>
    <row r="64" spans="1:10" ht="15.75" customHeight="1">
      <c r="A64" s="991" t="s">
        <v>721</v>
      </c>
      <c r="B64" s="992"/>
      <c r="C64" s="992"/>
      <c r="D64" s="992"/>
      <c r="E64" s="992"/>
      <c r="F64" s="44"/>
      <c r="G64" s="988" t="str">
        <f>CONCATENATE('Заявка стр. 1'!A19)</f>
        <v>Короткевич Олег Иосифович</v>
      </c>
      <c r="H64" s="988"/>
      <c r="I64" s="988"/>
      <c r="J64" s="988"/>
    </row>
    <row r="65" spans="1:10" ht="16.5" customHeight="1">
      <c r="A65" s="1081" t="s">
        <v>562</v>
      </c>
      <c r="B65" s="1081"/>
      <c r="C65" s="1081"/>
      <c r="D65" s="1081"/>
      <c r="E65" s="1081"/>
      <c r="F65" s="44"/>
      <c r="G65" s="1082" t="s">
        <v>414</v>
      </c>
      <c r="H65" s="1082"/>
      <c r="I65" s="1082"/>
      <c r="J65" s="1082"/>
    </row>
    <row r="66" spans="1:10" ht="16.5" customHeight="1">
      <c r="A66" s="982" t="s">
        <v>747</v>
      </c>
      <c r="B66" s="982"/>
      <c r="C66" s="982"/>
      <c r="D66" s="982"/>
      <c r="E66" s="982"/>
      <c r="F66" s="40"/>
      <c r="G66" s="820" t="s">
        <v>747</v>
      </c>
      <c r="H66" s="820"/>
      <c r="I66" s="820"/>
      <c r="J66" s="820"/>
    </row>
    <row r="67" spans="1:10" ht="12.75">
      <c r="A67" s="7"/>
      <c r="B67" s="7"/>
      <c r="C67" s="7"/>
      <c r="D67" s="7"/>
      <c r="E67" s="40"/>
      <c r="F67" s="40"/>
      <c r="G67" s="7"/>
      <c r="H67" s="7"/>
      <c r="I67" s="7"/>
      <c r="J67" s="7"/>
    </row>
    <row r="68" spans="1:10" ht="12.75">
      <c r="A68" s="7"/>
      <c r="B68" s="7"/>
      <c r="C68" s="7"/>
      <c r="D68" s="7"/>
      <c r="E68" s="40"/>
      <c r="F68" s="105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="7" customFormat="1" ht="12.75">
      <c r="T75" s="1"/>
    </row>
    <row r="76" s="7" customFormat="1" ht="12.75">
      <c r="T76" s="1"/>
    </row>
    <row r="77" s="7" customFormat="1" ht="12.75">
      <c r="T77" s="1"/>
    </row>
    <row r="78" s="7" customFormat="1" ht="12.75">
      <c r="T78" s="1"/>
    </row>
    <row r="79" s="7" customFormat="1" ht="12.75">
      <c r="T79" s="1"/>
    </row>
    <row r="80" s="7" customFormat="1" ht="12.75">
      <c r="T80" s="1"/>
    </row>
    <row r="81" s="7" customFormat="1" ht="12.75">
      <c r="T81" s="1"/>
    </row>
    <row r="82" s="7" customFormat="1" ht="12.75">
      <c r="T82" s="1"/>
    </row>
    <row r="83" s="7" customFormat="1" ht="12.75">
      <c r="T83" s="1"/>
    </row>
    <row r="84" s="7" customFormat="1" ht="12.75">
      <c r="T84" s="1"/>
    </row>
    <row r="85" s="7" customFormat="1" ht="12.75">
      <c r="T85" s="1"/>
    </row>
    <row r="86" s="7" customFormat="1" ht="12.75">
      <c r="T86" s="1"/>
    </row>
    <row r="87" s="7" customFormat="1" ht="12.75">
      <c r="T87" s="1"/>
    </row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</sheetData>
  <sheetProtection password="CC03" sheet="1" formatCells="0" formatColumns="0" formatRows="0" selectLockedCells="1"/>
  <mergeCells count="116">
    <mergeCell ref="H43:I43"/>
    <mergeCell ref="F42:G42"/>
    <mergeCell ref="K1:K41"/>
    <mergeCell ref="A25:J25"/>
    <mergeCell ref="F39:G39"/>
    <mergeCell ref="H39:I39"/>
    <mergeCell ref="A39:E39"/>
    <mergeCell ref="A37:E37"/>
    <mergeCell ref="F31:G31"/>
    <mergeCell ref="H31:I31"/>
    <mergeCell ref="A46:E46"/>
    <mergeCell ref="F46:G46"/>
    <mergeCell ref="H46:I46"/>
    <mergeCell ref="A47:E47"/>
    <mergeCell ref="F47:G47"/>
    <mergeCell ref="H47:I47"/>
    <mergeCell ref="F29:G29"/>
    <mergeCell ref="A28:E28"/>
    <mergeCell ref="A32:J32"/>
    <mergeCell ref="A33:B33"/>
    <mergeCell ref="H29:I29"/>
    <mergeCell ref="A30:E30"/>
    <mergeCell ref="F30:G30"/>
    <mergeCell ref="H30:I30"/>
    <mergeCell ref="A24:J24"/>
    <mergeCell ref="A66:E66"/>
    <mergeCell ref="A17:E17"/>
    <mergeCell ref="H27:I27"/>
    <mergeCell ref="H26:I26"/>
    <mergeCell ref="F27:G27"/>
    <mergeCell ref="G66:J66"/>
    <mergeCell ref="H28:I28"/>
    <mergeCell ref="F28:G28"/>
    <mergeCell ref="A29:E29"/>
    <mergeCell ref="A62:E62"/>
    <mergeCell ref="A57:J57"/>
    <mergeCell ref="A36:E36"/>
    <mergeCell ref="F36:G36"/>
    <mergeCell ref="A31:E31"/>
    <mergeCell ref="G62:J62"/>
    <mergeCell ref="G61:J61"/>
    <mergeCell ref="A61:E61"/>
    <mergeCell ref="E54:I54"/>
    <mergeCell ref="E55:I55"/>
    <mergeCell ref="G64:J64"/>
    <mergeCell ref="E49:I49"/>
    <mergeCell ref="E50:I50"/>
    <mergeCell ref="A65:E65"/>
    <mergeCell ref="G65:J65"/>
    <mergeCell ref="A64:E64"/>
    <mergeCell ref="A58:J58"/>
    <mergeCell ref="A59:J59"/>
    <mergeCell ref="E51:I51"/>
    <mergeCell ref="E53:I53"/>
    <mergeCell ref="A13:J13"/>
    <mergeCell ref="F1:F3"/>
    <mergeCell ref="A1:E1"/>
    <mergeCell ref="B11:C11"/>
    <mergeCell ref="F11:H11"/>
    <mergeCell ref="C2:E2"/>
    <mergeCell ref="F5:H7"/>
    <mergeCell ref="A7:C7"/>
    <mergeCell ref="B9:C9"/>
    <mergeCell ref="F9:H9"/>
    <mergeCell ref="A38:E38"/>
    <mergeCell ref="F38:G38"/>
    <mergeCell ref="H38:I38"/>
    <mergeCell ref="A45:E45"/>
    <mergeCell ref="A42:E42"/>
    <mergeCell ref="H42:I42"/>
    <mergeCell ref="F45:G45"/>
    <mergeCell ref="H45:I45"/>
    <mergeCell ref="A43:E43"/>
    <mergeCell ref="F43:G43"/>
    <mergeCell ref="H35:I35"/>
    <mergeCell ref="A35:E35"/>
    <mergeCell ref="I33:J33"/>
    <mergeCell ref="A41:E41"/>
    <mergeCell ref="F41:G41"/>
    <mergeCell ref="H41:I41"/>
    <mergeCell ref="H36:I36"/>
    <mergeCell ref="F37:G37"/>
    <mergeCell ref="H37:I37"/>
    <mergeCell ref="F35:G35"/>
    <mergeCell ref="A14:C14"/>
    <mergeCell ref="E14:J14"/>
    <mergeCell ref="A26:E26"/>
    <mergeCell ref="A27:E27"/>
    <mergeCell ref="F26:G26"/>
    <mergeCell ref="F17:G17"/>
    <mergeCell ref="A20:E20"/>
    <mergeCell ref="F20:G20"/>
    <mergeCell ref="A18:E18"/>
    <mergeCell ref="F18:G18"/>
    <mergeCell ref="G1:J2"/>
    <mergeCell ref="B5:C5"/>
    <mergeCell ref="C3:E3"/>
    <mergeCell ref="A2:B2"/>
    <mergeCell ref="G3:H3"/>
    <mergeCell ref="I3:J3"/>
    <mergeCell ref="H20:I20"/>
    <mergeCell ref="A19:E19"/>
    <mergeCell ref="F19:G19"/>
    <mergeCell ref="H19:I19"/>
    <mergeCell ref="H17:I17"/>
    <mergeCell ref="A16:J16"/>
    <mergeCell ref="H18:I18"/>
    <mergeCell ref="H23:I23"/>
    <mergeCell ref="A21:E21"/>
    <mergeCell ref="F21:G21"/>
    <mergeCell ref="H21:I21"/>
    <mergeCell ref="A22:E22"/>
    <mergeCell ref="F22:G22"/>
    <mergeCell ref="H22:I22"/>
    <mergeCell ref="A23:E23"/>
    <mergeCell ref="F23:G23"/>
  </mergeCells>
  <conditionalFormatting sqref="J5 J7 J9 J11">
    <cfRule type="cellIs" priority="1" dxfId="65" operator="equal" stopIfTrue="1">
      <formula>0</formula>
    </cfRule>
  </conditionalFormatting>
  <hyperlinks>
    <hyperlink ref="B11" r:id="rId1" display="montage@b95.ru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A155"/>
  <sheetViews>
    <sheetView zoomScaleSheetLayoutView="75" zoomScalePageLayoutView="0" workbookViewId="0" topLeftCell="A1">
      <selection activeCell="H18" sqref="H18:J18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9.125" style="1" customWidth="1"/>
    <col min="4" max="4" width="0.74609375" style="1" customWidth="1"/>
    <col min="5" max="5" width="26.125" style="1" customWidth="1"/>
    <col min="6" max="6" width="10.875" style="1" customWidth="1"/>
    <col min="7" max="7" width="21.00390625" style="1" customWidth="1"/>
    <col min="8" max="8" width="10.75390625" style="1" customWidth="1"/>
    <col min="9" max="9" width="0.6171875" style="1" customWidth="1"/>
    <col min="10" max="10" width="21.75390625" style="1" customWidth="1"/>
    <col min="11" max="11" width="33.375" style="1" customWidth="1"/>
    <col min="12" max="13" width="9.125" style="7" customWidth="1"/>
    <col min="14" max="14" width="10.00390625" style="7" bestFit="1" customWidth="1"/>
    <col min="15" max="20" width="9.125" style="7" customWidth="1"/>
    <col min="21" max="16384" width="9.125" style="1" customWidth="1"/>
  </cols>
  <sheetData>
    <row r="1" spans="1:12" ht="25.5" customHeight="1">
      <c r="A1" s="1012" t="s">
        <v>140</v>
      </c>
      <c r="B1" s="1012"/>
      <c r="C1" s="1012"/>
      <c r="D1" s="1012"/>
      <c r="E1" s="1012"/>
      <c r="F1" s="1092">
        <v>7</v>
      </c>
      <c r="G1" s="1009" t="s">
        <v>669</v>
      </c>
      <c r="H1" s="1009"/>
      <c r="I1" s="1009"/>
      <c r="J1" s="1009"/>
      <c r="K1" s="1009"/>
      <c r="L1" s="1104"/>
    </row>
    <row r="2" spans="1:12" ht="25.5" customHeight="1">
      <c r="A2" s="1004" t="s">
        <v>696</v>
      </c>
      <c r="B2" s="1004"/>
      <c r="C2" s="1004" t="str">
        <f>'содержание '!C79</f>
        <v>ArmHiTec-2016</v>
      </c>
      <c r="D2" s="1004"/>
      <c r="E2" s="1004"/>
      <c r="F2" s="1092"/>
      <c r="G2" s="1009"/>
      <c r="H2" s="1009"/>
      <c r="I2" s="1009"/>
      <c r="J2" s="1009"/>
      <c r="K2" s="1009"/>
      <c r="L2" s="1104"/>
    </row>
    <row r="3" spans="1:12" ht="14.25" customHeight="1">
      <c r="A3" s="417" t="s">
        <v>697</v>
      </c>
      <c r="B3" s="207" t="str">
        <f>CONCATENATE('содержание '!C104)</f>
        <v>/AHT</v>
      </c>
      <c r="C3" s="1052" t="s">
        <v>257</v>
      </c>
      <c r="D3" s="1052"/>
      <c r="E3" s="1052"/>
      <c r="F3" s="1093"/>
      <c r="G3" s="1094" t="s">
        <v>597</v>
      </c>
      <c r="H3" s="1094"/>
      <c r="I3" s="208"/>
      <c r="J3" s="1037" t="str">
        <f>CONCATENATE('содержание '!C95)</f>
        <v>14 сентября 2016 г.</v>
      </c>
      <c r="K3" s="1037"/>
      <c r="L3" s="1104"/>
    </row>
    <row r="4" spans="1:27" ht="3.75" customHeight="1">
      <c r="A4" s="31"/>
      <c r="B4" s="34"/>
      <c r="C4" s="152"/>
      <c r="D4" s="152"/>
      <c r="E4" s="152"/>
      <c r="F4" s="152"/>
      <c r="G4" s="152"/>
      <c r="H4" s="152"/>
      <c r="I4" s="152"/>
      <c r="J4" s="152"/>
      <c r="K4" s="177"/>
      <c r="L4" s="1104"/>
      <c r="M4" s="149"/>
      <c r="N4" s="149"/>
      <c r="O4" s="149"/>
      <c r="P4" s="149"/>
      <c r="Q4" s="52"/>
      <c r="R4" s="52"/>
      <c r="T4" s="22"/>
      <c r="U4" s="22"/>
      <c r="V4" s="22"/>
      <c r="W4" s="7"/>
      <c r="X4" s="7"/>
      <c r="Y4" s="7"/>
      <c r="Z4" s="7"/>
      <c r="AA4" s="7"/>
    </row>
    <row r="5" spans="1:27" ht="12" customHeight="1">
      <c r="A5" s="315" t="s">
        <v>121</v>
      </c>
      <c r="B5" s="721" t="s">
        <v>542</v>
      </c>
      <c r="C5" s="721"/>
      <c r="D5" s="191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728"/>
      <c r="I5" s="187"/>
      <c r="J5" s="153" t="s">
        <v>993</v>
      </c>
      <c r="K5" s="415"/>
      <c r="L5" s="1104"/>
      <c r="U5" s="7"/>
      <c r="V5" s="7"/>
      <c r="W5" s="7"/>
      <c r="X5" s="7"/>
      <c r="Y5" s="7"/>
      <c r="Z5" s="7"/>
      <c r="AA5" s="7"/>
    </row>
    <row r="6" spans="1:12" s="7" customFormat="1" ht="2.25" customHeight="1">
      <c r="A6" s="193"/>
      <c r="B6" s="194"/>
      <c r="C6" s="165"/>
      <c r="D6" s="165"/>
      <c r="E6" s="155"/>
      <c r="F6" s="728"/>
      <c r="G6" s="728"/>
      <c r="H6" s="728"/>
      <c r="I6" s="187"/>
      <c r="J6" s="161"/>
      <c r="K6" s="157"/>
      <c r="L6" s="1104"/>
    </row>
    <row r="7" spans="1:27" ht="12" customHeight="1">
      <c r="A7" s="721" t="s">
        <v>980</v>
      </c>
      <c r="B7" s="721"/>
      <c r="C7" s="721"/>
      <c r="D7" s="191"/>
      <c r="E7" s="174"/>
      <c r="F7" s="818"/>
      <c r="G7" s="818"/>
      <c r="H7" s="818"/>
      <c r="I7" s="187"/>
      <c r="J7" s="153" t="s">
        <v>994</v>
      </c>
      <c r="K7" s="415"/>
      <c r="L7" s="1104"/>
      <c r="U7" s="7"/>
      <c r="V7" s="7"/>
      <c r="W7" s="7"/>
      <c r="X7" s="7"/>
      <c r="Y7" s="7"/>
      <c r="Z7" s="7"/>
      <c r="AA7" s="7"/>
    </row>
    <row r="8" spans="1:12" s="7" customFormat="1" ht="2.25" customHeight="1">
      <c r="A8" s="166"/>
      <c r="B8" s="164"/>
      <c r="C8" s="167"/>
      <c r="D8" s="167"/>
      <c r="E8" s="157"/>
      <c r="G8" s="159"/>
      <c r="H8" s="181"/>
      <c r="I8" s="181"/>
      <c r="J8" s="154"/>
      <c r="K8" s="180"/>
      <c r="L8" s="1104"/>
    </row>
    <row r="9" spans="1:27" ht="12" customHeight="1">
      <c r="A9" s="170" t="s">
        <v>982</v>
      </c>
      <c r="B9" s="724" t="s">
        <v>144</v>
      </c>
      <c r="C9" s="724"/>
      <c r="D9" s="192"/>
      <c r="E9" s="155" t="s">
        <v>977</v>
      </c>
      <c r="F9" s="871" t="str">
        <f>CONCATENATE('Заявка стр. 1'!A25)</f>
        <v>Симонова Наталья Владимировна</v>
      </c>
      <c r="G9" s="871"/>
      <c r="H9" s="871"/>
      <c r="I9" s="70"/>
      <c r="J9" s="153" t="s">
        <v>995</v>
      </c>
      <c r="K9" s="415"/>
      <c r="L9" s="1104"/>
      <c r="U9" s="7"/>
      <c r="V9" s="7"/>
      <c r="W9" s="7"/>
      <c r="X9" s="7"/>
      <c r="Y9" s="7"/>
      <c r="Z9" s="7"/>
      <c r="AA9" s="7"/>
    </row>
    <row r="10" spans="1:12" s="7" customFormat="1" ht="2.25" customHeight="1">
      <c r="A10" s="166"/>
      <c r="B10" s="164"/>
      <c r="C10" s="164"/>
      <c r="D10" s="164"/>
      <c r="E10" s="160"/>
      <c r="G10" s="174"/>
      <c r="H10" s="182"/>
      <c r="I10" s="182"/>
      <c r="J10" s="154"/>
      <c r="K10" s="180"/>
      <c r="L10" s="1104"/>
    </row>
    <row r="11" spans="1:27" ht="12" customHeight="1">
      <c r="A11" s="170" t="s">
        <v>595</v>
      </c>
      <c r="B11" s="1162" t="s">
        <v>654</v>
      </c>
      <c r="C11" s="1163"/>
      <c r="D11" s="78"/>
      <c r="E11" s="173" t="s">
        <v>978</v>
      </c>
      <c r="F11" s="871" t="str">
        <f>CONCATENATE('Заявка стр. 1'!B27)</f>
        <v>(495) 276-52-71</v>
      </c>
      <c r="G11" s="871"/>
      <c r="H11" s="871"/>
      <c r="I11" s="70"/>
      <c r="J11" s="153"/>
      <c r="K11" s="180"/>
      <c r="L11" s="1104"/>
      <c r="U11" s="7"/>
      <c r="V11" s="7"/>
      <c r="W11" s="7"/>
      <c r="X11" s="7"/>
      <c r="Y11" s="7"/>
      <c r="Z11" s="7"/>
      <c r="AA11" s="7"/>
    </row>
    <row r="12" spans="1:27" ht="2.25" customHeight="1">
      <c r="A12" s="203"/>
      <c r="B12" s="204"/>
      <c r="C12" s="204"/>
      <c r="D12" s="204"/>
      <c r="E12" s="204"/>
      <c r="F12" s="204"/>
      <c r="G12" s="204"/>
      <c r="H12" s="203"/>
      <c r="I12" s="203"/>
      <c r="J12" s="205"/>
      <c r="K12" s="202"/>
      <c r="L12" s="1104"/>
      <c r="M12" s="70"/>
      <c r="N12" s="70"/>
      <c r="O12" s="70"/>
      <c r="P12" s="182"/>
      <c r="Q12" s="153"/>
      <c r="R12" s="180"/>
      <c r="S12" s="161"/>
      <c r="T12" s="22"/>
      <c r="U12" s="22"/>
      <c r="V12" s="70"/>
      <c r="W12" s="7"/>
      <c r="X12" s="7"/>
      <c r="Y12" s="7"/>
      <c r="Z12" s="7"/>
      <c r="AA12" s="7"/>
    </row>
    <row r="13" spans="1:13" s="7" customFormat="1" ht="27.75" customHeight="1">
      <c r="A13" s="1041" t="s">
        <v>976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104"/>
      <c r="M13" s="22"/>
    </row>
    <row r="14" spans="1:12" s="7" customFormat="1" ht="14.25" customHeight="1">
      <c r="A14" s="1041" t="s">
        <v>571</v>
      </c>
      <c r="B14" s="1041"/>
      <c r="C14" s="1041"/>
      <c r="D14" s="36"/>
      <c r="E14" s="1156" t="str">
        <f>CONCATENATE('содержание '!C87)</f>
        <v>с 13 по 15 октября 2016 г.</v>
      </c>
      <c r="F14" s="1156"/>
      <c r="G14" s="1156"/>
      <c r="H14" s="1156"/>
      <c r="I14" s="1156"/>
      <c r="J14" s="1156"/>
      <c r="K14" s="1156"/>
      <c r="L14" s="1104"/>
    </row>
    <row r="15" spans="1:12" s="7" customFormat="1" ht="16.5" customHeight="1">
      <c r="A15" s="1004" t="s">
        <v>251</v>
      </c>
      <c r="B15" s="1004"/>
      <c r="C15" s="1004"/>
      <c r="D15" s="1004"/>
      <c r="E15" s="1004"/>
      <c r="F15" s="1004"/>
      <c r="G15" s="1004"/>
      <c r="H15" s="1004"/>
      <c r="I15" s="1004"/>
      <c r="J15" s="1004"/>
      <c r="K15" s="1004"/>
      <c r="L15" s="1104"/>
    </row>
    <row r="16" spans="1:21" ht="3" customHeight="1">
      <c r="A16" s="802"/>
      <c r="B16" s="802"/>
      <c r="C16" s="802"/>
      <c r="D16" s="802"/>
      <c r="E16" s="802"/>
      <c r="F16" s="1189"/>
      <c r="G16" s="1189"/>
      <c r="H16" s="1190"/>
      <c r="I16" s="1190"/>
      <c r="J16" s="1190"/>
      <c r="K16" s="627"/>
      <c r="L16" s="1104"/>
      <c r="M16" s="41">
        <v>49</v>
      </c>
      <c r="N16" s="21">
        <f>F16*M16</f>
        <v>0</v>
      </c>
      <c r="O16" s="41"/>
      <c r="P16" s="41"/>
      <c r="Q16" s="94"/>
      <c r="R16" s="41"/>
      <c r="S16" s="41"/>
      <c r="T16" s="41"/>
      <c r="U16" s="3"/>
    </row>
    <row r="17" spans="1:21" ht="24" customHeight="1">
      <c r="A17" s="1183" t="s">
        <v>1061</v>
      </c>
      <c r="B17" s="1184"/>
      <c r="C17" s="1184"/>
      <c r="D17" s="1184"/>
      <c r="E17" s="1185"/>
      <c r="F17" s="1155" t="s">
        <v>110</v>
      </c>
      <c r="G17" s="1155"/>
      <c r="H17" s="1186" t="s">
        <v>485</v>
      </c>
      <c r="I17" s="1187"/>
      <c r="J17" s="1188"/>
      <c r="K17" s="398" t="s">
        <v>87</v>
      </c>
      <c r="L17" s="1104"/>
      <c r="M17" s="41"/>
      <c r="N17" s="21"/>
      <c r="O17" s="41"/>
      <c r="P17" s="41"/>
      <c r="Q17" s="94"/>
      <c r="R17" s="41"/>
      <c r="S17" s="41"/>
      <c r="T17" s="41"/>
      <c r="U17" s="3"/>
    </row>
    <row r="18" spans="1:21" ht="24" customHeight="1">
      <c r="A18" s="1168" t="s">
        <v>483</v>
      </c>
      <c r="B18" s="799"/>
      <c r="C18" s="799"/>
      <c r="D18" s="799"/>
      <c r="E18" s="800"/>
      <c r="F18" s="1169">
        <v>14921</v>
      </c>
      <c r="G18" s="1170"/>
      <c r="H18" s="1152">
        <v>0</v>
      </c>
      <c r="I18" s="1152"/>
      <c r="J18" s="1152"/>
      <c r="K18" s="592">
        <f>F18*H18</f>
        <v>0</v>
      </c>
      <c r="L18" s="1104"/>
      <c r="M18" s="41"/>
      <c r="N18" s="21"/>
      <c r="O18" s="41"/>
      <c r="P18" s="41"/>
      <c r="Q18" s="94"/>
      <c r="R18" s="41"/>
      <c r="S18" s="41"/>
      <c r="T18" s="41"/>
      <c r="U18" s="3"/>
    </row>
    <row r="19" spans="1:21" ht="24" customHeight="1">
      <c r="A19" s="1168" t="s">
        <v>484</v>
      </c>
      <c r="B19" s="799"/>
      <c r="C19" s="799"/>
      <c r="D19" s="799"/>
      <c r="E19" s="800"/>
      <c r="F19" s="1169">
        <v>81438</v>
      </c>
      <c r="G19" s="1170"/>
      <c r="H19" s="1152">
        <v>0</v>
      </c>
      <c r="I19" s="1152"/>
      <c r="J19" s="1152"/>
      <c r="K19" s="592">
        <f>F19*H19</f>
        <v>0</v>
      </c>
      <c r="L19" s="1104"/>
      <c r="M19" s="41"/>
      <c r="N19" s="21"/>
      <c r="O19" s="41"/>
      <c r="P19" s="41"/>
      <c r="Q19" s="94"/>
      <c r="R19" s="41"/>
      <c r="S19" s="41"/>
      <c r="T19" s="41"/>
      <c r="U19" s="3"/>
    </row>
    <row r="20" spans="1:21" ht="24.75" customHeight="1">
      <c r="A20" s="1157" t="s">
        <v>1062</v>
      </c>
      <c r="B20" s="1157"/>
      <c r="C20" s="1157"/>
      <c r="D20" s="1157"/>
      <c r="E20" s="1157"/>
      <c r="F20" s="1155" t="s">
        <v>111</v>
      </c>
      <c r="G20" s="1155"/>
      <c r="H20" s="1155" t="s">
        <v>252</v>
      </c>
      <c r="I20" s="1155"/>
      <c r="J20" s="1155"/>
      <c r="K20" s="398" t="s">
        <v>87</v>
      </c>
      <c r="L20" s="1104"/>
      <c r="M20" s="41"/>
      <c r="N20" s="21"/>
      <c r="O20" s="97"/>
      <c r="P20" s="96"/>
      <c r="Q20" s="96"/>
      <c r="R20" s="41"/>
      <c r="S20" s="41"/>
      <c r="T20" s="41"/>
      <c r="U20" s="3"/>
    </row>
    <row r="21" spans="1:21" ht="15.75" customHeight="1">
      <c r="A21" s="1180" t="s">
        <v>332</v>
      </c>
      <c r="B21" s="1181"/>
      <c r="C21" s="1181"/>
      <c r="D21" s="1181"/>
      <c r="E21" s="1182"/>
      <c r="F21" s="1169">
        <v>30000</v>
      </c>
      <c r="G21" s="1170"/>
      <c r="H21" s="1152">
        <v>0</v>
      </c>
      <c r="I21" s="1152"/>
      <c r="J21" s="1152"/>
      <c r="K21" s="592">
        <f aca="true" t="shared" si="0" ref="K21:K32">F21*H21</f>
        <v>0</v>
      </c>
      <c r="L21" s="1104"/>
      <c r="M21" s="41"/>
      <c r="N21" s="21"/>
      <c r="O21" s="97"/>
      <c r="P21" s="96"/>
      <c r="Q21" s="96"/>
      <c r="R21" s="41"/>
      <c r="S21" s="41"/>
      <c r="T21" s="41"/>
      <c r="U21" s="3"/>
    </row>
    <row r="22" spans="1:21" ht="13.5" customHeight="1">
      <c r="A22" s="1180" t="s">
        <v>1058</v>
      </c>
      <c r="B22" s="1181"/>
      <c r="C22" s="1181"/>
      <c r="D22" s="1181"/>
      <c r="E22" s="1182"/>
      <c r="F22" s="1169">
        <v>12000</v>
      </c>
      <c r="G22" s="1170"/>
      <c r="H22" s="1152">
        <v>0</v>
      </c>
      <c r="I22" s="1152"/>
      <c r="J22" s="1152"/>
      <c r="K22" s="592">
        <f t="shared" si="0"/>
        <v>0</v>
      </c>
      <c r="L22" s="1104"/>
      <c r="M22" s="41"/>
      <c r="N22" s="21"/>
      <c r="O22" s="41"/>
      <c r="P22" s="41"/>
      <c r="Q22" s="94"/>
      <c r="R22" s="41"/>
      <c r="S22" s="41"/>
      <c r="T22" s="41"/>
      <c r="U22" s="3"/>
    </row>
    <row r="23" spans="1:21" ht="15.75" customHeight="1">
      <c r="A23" s="1180" t="s">
        <v>333</v>
      </c>
      <c r="B23" s="1181"/>
      <c r="C23" s="1181"/>
      <c r="D23" s="1181"/>
      <c r="E23" s="1182"/>
      <c r="F23" s="1169">
        <v>4800</v>
      </c>
      <c r="G23" s="1170"/>
      <c r="H23" s="1152">
        <v>0</v>
      </c>
      <c r="I23" s="1152"/>
      <c r="J23" s="1152"/>
      <c r="K23" s="592">
        <f t="shared" si="0"/>
        <v>0</v>
      </c>
      <c r="L23" s="1104"/>
      <c r="M23" s="41"/>
      <c r="N23" s="21"/>
      <c r="O23" s="97"/>
      <c r="P23" s="96"/>
      <c r="Q23" s="96"/>
      <c r="R23" s="41"/>
      <c r="S23" s="41"/>
      <c r="T23" s="41"/>
      <c r="U23" s="3"/>
    </row>
    <row r="24" spans="1:21" ht="15.75" customHeight="1">
      <c r="A24" s="1180" t="s">
        <v>334</v>
      </c>
      <c r="B24" s="1181"/>
      <c r="C24" s="1181"/>
      <c r="D24" s="1181"/>
      <c r="E24" s="1182"/>
      <c r="F24" s="1169">
        <v>3600</v>
      </c>
      <c r="G24" s="1170"/>
      <c r="H24" s="1152">
        <v>0</v>
      </c>
      <c r="I24" s="1152"/>
      <c r="J24" s="1152"/>
      <c r="K24" s="592">
        <f t="shared" si="0"/>
        <v>0</v>
      </c>
      <c r="L24" s="1104"/>
      <c r="M24" s="41"/>
      <c r="N24" s="21"/>
      <c r="O24" s="97"/>
      <c r="P24" s="96"/>
      <c r="Q24" s="96"/>
      <c r="R24" s="41"/>
      <c r="S24" s="41"/>
      <c r="T24" s="41"/>
      <c r="U24" s="3"/>
    </row>
    <row r="25" spans="1:21" s="7" customFormat="1" ht="15.75" customHeight="1">
      <c r="A25" s="1180" t="s">
        <v>266</v>
      </c>
      <c r="B25" s="1181"/>
      <c r="C25" s="1181"/>
      <c r="D25" s="1181"/>
      <c r="E25" s="1182"/>
      <c r="F25" s="1169">
        <v>66000</v>
      </c>
      <c r="G25" s="1170"/>
      <c r="H25" s="1152">
        <v>0</v>
      </c>
      <c r="I25" s="1152"/>
      <c r="J25" s="1152"/>
      <c r="K25" s="592">
        <f t="shared" si="0"/>
        <v>0</v>
      </c>
      <c r="L25" s="1104"/>
      <c r="M25" s="41"/>
      <c r="N25" s="21"/>
      <c r="O25" s="97"/>
      <c r="P25" s="96"/>
      <c r="Q25" s="96"/>
      <c r="R25" s="41"/>
      <c r="S25" s="41"/>
      <c r="T25" s="41"/>
      <c r="U25" s="41"/>
    </row>
    <row r="26" spans="1:21" ht="12.75" customHeight="1">
      <c r="A26" s="1180" t="s">
        <v>267</v>
      </c>
      <c r="B26" s="1181"/>
      <c r="C26" s="1181"/>
      <c r="D26" s="1181"/>
      <c r="E26" s="1182"/>
      <c r="F26" s="1169">
        <v>18000</v>
      </c>
      <c r="G26" s="1170"/>
      <c r="H26" s="1152">
        <v>0</v>
      </c>
      <c r="I26" s="1152"/>
      <c r="J26" s="1152"/>
      <c r="K26" s="592">
        <f t="shared" si="0"/>
        <v>0</v>
      </c>
      <c r="L26" s="1104"/>
      <c r="M26" s="41"/>
      <c r="N26" s="21"/>
      <c r="O26" s="41"/>
      <c r="P26" s="41"/>
      <c r="Q26" s="94"/>
      <c r="R26" s="41"/>
      <c r="S26" s="41"/>
      <c r="T26" s="41"/>
      <c r="U26" s="3"/>
    </row>
    <row r="27" spans="1:21" ht="24.75" customHeight="1">
      <c r="A27" s="1177" t="s">
        <v>335</v>
      </c>
      <c r="B27" s="1178"/>
      <c r="C27" s="1178"/>
      <c r="D27" s="1178"/>
      <c r="E27" s="1179"/>
      <c r="F27" s="1169">
        <v>12000</v>
      </c>
      <c r="G27" s="1170"/>
      <c r="H27" s="1152">
        <v>0</v>
      </c>
      <c r="I27" s="1152"/>
      <c r="J27" s="1152"/>
      <c r="K27" s="592">
        <f t="shared" si="0"/>
        <v>0</v>
      </c>
      <c r="L27" s="1104"/>
      <c r="M27" s="41"/>
      <c r="N27" s="21"/>
      <c r="O27" s="97"/>
      <c r="P27" s="96"/>
      <c r="Q27" s="96"/>
      <c r="R27" s="41"/>
      <c r="S27" s="41"/>
      <c r="T27" s="41"/>
      <c r="U27" s="3"/>
    </row>
    <row r="28" spans="1:21" ht="23.25" customHeight="1">
      <c r="A28" s="1177" t="s">
        <v>280</v>
      </c>
      <c r="B28" s="1178"/>
      <c r="C28" s="1178"/>
      <c r="D28" s="1178"/>
      <c r="E28" s="1179"/>
      <c r="F28" s="1169">
        <v>1200</v>
      </c>
      <c r="G28" s="1170"/>
      <c r="H28" s="1152">
        <v>0</v>
      </c>
      <c r="I28" s="1152"/>
      <c r="J28" s="1152"/>
      <c r="K28" s="592">
        <f t="shared" si="0"/>
        <v>0</v>
      </c>
      <c r="L28" s="1104"/>
      <c r="M28" s="41"/>
      <c r="N28" s="21"/>
      <c r="O28" s="97"/>
      <c r="P28" s="96"/>
      <c r="Q28" s="96"/>
      <c r="R28" s="41"/>
      <c r="S28" s="41"/>
      <c r="T28" s="41"/>
      <c r="U28" s="3"/>
    </row>
    <row r="29" spans="1:21" ht="26.25" customHeight="1">
      <c r="A29" s="1177" t="s">
        <v>336</v>
      </c>
      <c r="B29" s="1178"/>
      <c r="C29" s="1178"/>
      <c r="D29" s="1178"/>
      <c r="E29" s="1179"/>
      <c r="F29" s="1169">
        <v>98343</v>
      </c>
      <c r="G29" s="1170"/>
      <c r="H29" s="1152">
        <v>0</v>
      </c>
      <c r="I29" s="1152"/>
      <c r="J29" s="1152"/>
      <c r="K29" s="592">
        <f t="shared" si="0"/>
        <v>0</v>
      </c>
      <c r="L29" s="1104"/>
      <c r="M29" s="41"/>
      <c r="N29" s="21"/>
      <c r="O29" s="97"/>
      <c r="P29" s="96"/>
      <c r="Q29" s="96"/>
      <c r="R29" s="41"/>
      <c r="S29" s="41"/>
      <c r="T29" s="41"/>
      <c r="U29" s="3"/>
    </row>
    <row r="30" spans="1:21" ht="24" customHeight="1">
      <c r="A30" s="1161" t="s">
        <v>337</v>
      </c>
      <c r="B30" s="1161"/>
      <c r="C30" s="1161"/>
      <c r="D30" s="1161"/>
      <c r="E30" s="1161"/>
      <c r="F30" s="1169">
        <v>131516</v>
      </c>
      <c r="G30" s="1170"/>
      <c r="H30" s="1152">
        <v>0</v>
      </c>
      <c r="I30" s="1152"/>
      <c r="J30" s="1152"/>
      <c r="K30" s="592">
        <f t="shared" si="0"/>
        <v>0</v>
      </c>
      <c r="L30" s="1104"/>
      <c r="M30" s="41"/>
      <c r="N30" s="21"/>
      <c r="O30" s="97"/>
      <c r="P30" s="96"/>
      <c r="Q30" s="96"/>
      <c r="R30" s="41"/>
      <c r="S30" s="41"/>
      <c r="T30" s="41"/>
      <c r="U30" s="3"/>
    </row>
    <row r="31" spans="1:21" ht="37.5" customHeight="1">
      <c r="A31" s="1161" t="s">
        <v>338</v>
      </c>
      <c r="B31" s="1161"/>
      <c r="C31" s="1161"/>
      <c r="D31" s="1161"/>
      <c r="E31" s="1161"/>
      <c r="F31" s="1169">
        <v>6288.333333333334</v>
      </c>
      <c r="G31" s="1170"/>
      <c r="H31" s="1152">
        <v>0</v>
      </c>
      <c r="I31" s="1152"/>
      <c r="J31" s="1152"/>
      <c r="K31" s="592">
        <f>F31*H31</f>
        <v>0</v>
      </c>
      <c r="L31" s="1104"/>
      <c r="M31" s="41"/>
      <c r="N31" s="21"/>
      <c r="O31" s="21"/>
      <c r="P31" s="21"/>
      <c r="Q31" s="94"/>
      <c r="R31" s="43"/>
      <c r="S31" s="43"/>
      <c r="T31" s="43"/>
      <c r="U31" s="4"/>
    </row>
    <row r="32" spans="1:16" ht="25.5" customHeight="1">
      <c r="A32" s="1161" t="s">
        <v>512</v>
      </c>
      <c r="B32" s="1161"/>
      <c r="C32" s="1161"/>
      <c r="D32" s="1161"/>
      <c r="E32" s="1161"/>
      <c r="F32" s="1169">
        <v>24010</v>
      </c>
      <c r="G32" s="1170"/>
      <c r="H32" s="1152">
        <v>0</v>
      </c>
      <c r="I32" s="1152"/>
      <c r="J32" s="1152"/>
      <c r="K32" s="592">
        <f t="shared" si="0"/>
        <v>0</v>
      </c>
      <c r="L32" s="1104"/>
      <c r="M32" s="41"/>
      <c r="N32" s="21"/>
      <c r="O32" s="111"/>
      <c r="P32" s="94"/>
    </row>
    <row r="33" spans="1:21" s="4" customFormat="1" ht="14.25" customHeight="1">
      <c r="A33" s="1161" t="s">
        <v>572</v>
      </c>
      <c r="B33" s="1161"/>
      <c r="C33" s="1161"/>
      <c r="D33" s="1161"/>
      <c r="E33" s="1161"/>
      <c r="F33" s="1169">
        <v>62400</v>
      </c>
      <c r="G33" s="1170"/>
      <c r="H33" s="1152">
        <v>0</v>
      </c>
      <c r="I33" s="1152"/>
      <c r="J33" s="1174"/>
      <c r="K33" s="591">
        <f aca="true" t="shared" si="1" ref="K33:K38">F33*H33</f>
        <v>0</v>
      </c>
      <c r="L33" s="1104"/>
      <c r="M33" s="41"/>
      <c r="N33" s="21"/>
      <c r="O33" s="112"/>
      <c r="P33" s="96"/>
      <c r="Q33" s="21"/>
      <c r="R33" s="21"/>
      <c r="S33" s="21"/>
      <c r="T33" s="21"/>
      <c r="U33" s="3"/>
    </row>
    <row r="34" spans="1:21" s="347" customFormat="1" ht="15" customHeight="1">
      <c r="A34" s="1161" t="s">
        <v>1057</v>
      </c>
      <c r="B34" s="1161"/>
      <c r="C34" s="1161"/>
      <c r="D34" s="1161"/>
      <c r="E34" s="1161"/>
      <c r="F34" s="1169">
        <v>4800</v>
      </c>
      <c r="G34" s="1170"/>
      <c r="H34" s="1152">
        <v>0</v>
      </c>
      <c r="I34" s="1152"/>
      <c r="J34" s="1174"/>
      <c r="K34" s="591">
        <f t="shared" si="1"/>
        <v>0</v>
      </c>
      <c r="L34" s="1104"/>
      <c r="M34" s="41"/>
      <c r="N34" s="21"/>
      <c r="O34" s="343"/>
      <c r="P34" s="344"/>
      <c r="Q34" s="345"/>
      <c r="R34" s="314"/>
      <c r="S34" s="345"/>
      <c r="T34" s="345"/>
      <c r="U34" s="346"/>
    </row>
    <row r="35" spans="1:21" s="347" customFormat="1" ht="13.5" customHeight="1">
      <c r="A35" s="1161" t="s">
        <v>1056</v>
      </c>
      <c r="B35" s="1161"/>
      <c r="C35" s="1161"/>
      <c r="D35" s="1161"/>
      <c r="E35" s="1161"/>
      <c r="F35" s="1169">
        <v>4200</v>
      </c>
      <c r="G35" s="1170"/>
      <c r="H35" s="1152">
        <v>0</v>
      </c>
      <c r="I35" s="1152"/>
      <c r="J35" s="1174"/>
      <c r="K35" s="591">
        <f t="shared" si="1"/>
        <v>0</v>
      </c>
      <c r="L35" s="1104"/>
      <c r="M35" s="41"/>
      <c r="N35" s="21"/>
      <c r="O35" s="343"/>
      <c r="P35" s="344"/>
      <c r="Q35" s="345"/>
      <c r="R35" s="314"/>
      <c r="S35" s="345"/>
      <c r="T35" s="345"/>
      <c r="U35" s="346"/>
    </row>
    <row r="36" spans="1:21" s="22" customFormat="1" ht="12.75" customHeight="1">
      <c r="A36" s="1161" t="s">
        <v>281</v>
      </c>
      <c r="B36" s="1161"/>
      <c r="C36" s="1161"/>
      <c r="D36" s="1161"/>
      <c r="E36" s="1161"/>
      <c r="F36" s="1169">
        <v>6000</v>
      </c>
      <c r="G36" s="1170"/>
      <c r="H36" s="1152">
        <v>0</v>
      </c>
      <c r="I36" s="1152"/>
      <c r="J36" s="1152"/>
      <c r="K36" s="591">
        <f t="shared" si="1"/>
        <v>0</v>
      </c>
      <c r="L36" s="1104"/>
      <c r="M36" s="41"/>
      <c r="N36" s="21"/>
      <c r="O36" s="112"/>
      <c r="P36" s="96"/>
      <c r="Q36" s="21"/>
      <c r="R36" s="21"/>
      <c r="S36" s="21"/>
      <c r="T36" s="21"/>
      <c r="U36" s="41"/>
    </row>
    <row r="37" spans="1:21" s="7" customFormat="1" ht="24" customHeight="1">
      <c r="A37" s="1161" t="s">
        <v>339</v>
      </c>
      <c r="B37" s="1161"/>
      <c r="C37" s="1161"/>
      <c r="D37" s="1161"/>
      <c r="E37" s="1161"/>
      <c r="F37" s="1169">
        <v>31200</v>
      </c>
      <c r="G37" s="1170"/>
      <c r="H37" s="1152">
        <v>0</v>
      </c>
      <c r="I37" s="1152"/>
      <c r="J37" s="1174"/>
      <c r="K37" s="591">
        <f t="shared" si="1"/>
        <v>0</v>
      </c>
      <c r="L37" s="1104"/>
      <c r="M37" s="41"/>
      <c r="N37" s="21"/>
      <c r="O37" s="97"/>
      <c r="P37" s="94"/>
      <c r="Q37" s="21"/>
      <c r="R37" s="45"/>
      <c r="S37" s="21"/>
      <c r="T37" s="21"/>
      <c r="U37" s="41"/>
    </row>
    <row r="38" spans="1:21" s="7" customFormat="1" ht="15.75" customHeight="1">
      <c r="A38" s="1191" t="s">
        <v>965</v>
      </c>
      <c r="B38" s="1191"/>
      <c r="C38" s="1191"/>
      <c r="D38" s="1191"/>
      <c r="E38" s="1191"/>
      <c r="F38" s="1169">
        <v>7200</v>
      </c>
      <c r="G38" s="1170"/>
      <c r="H38" s="1152">
        <v>0</v>
      </c>
      <c r="I38" s="1152"/>
      <c r="J38" s="1152"/>
      <c r="K38" s="591">
        <f t="shared" si="1"/>
        <v>0</v>
      </c>
      <c r="L38" s="1104"/>
      <c r="M38" s="41"/>
      <c r="N38" s="21"/>
      <c r="O38" s="95"/>
      <c r="P38" s="94"/>
      <c r="Q38" s="21"/>
      <c r="R38" s="45"/>
      <c r="S38" s="21"/>
      <c r="T38" s="21"/>
      <c r="U38" s="41"/>
    </row>
    <row r="39" spans="1:14" s="7" customFormat="1" ht="15.75">
      <c r="A39" s="1161" t="s">
        <v>966</v>
      </c>
      <c r="B39" s="1161"/>
      <c r="C39" s="1161"/>
      <c r="D39" s="1161"/>
      <c r="E39" s="1161"/>
      <c r="F39" s="1169">
        <v>9600</v>
      </c>
      <c r="G39" s="1170"/>
      <c r="H39" s="1152">
        <v>0</v>
      </c>
      <c r="I39" s="1152"/>
      <c r="J39" s="1174"/>
      <c r="K39" s="591">
        <f>F39*H39</f>
        <v>0</v>
      </c>
      <c r="M39" s="41"/>
      <c r="N39" s="21"/>
    </row>
    <row r="40" spans="1:14" s="7" customFormat="1" ht="15.75">
      <c r="A40" s="1161" t="s">
        <v>967</v>
      </c>
      <c r="B40" s="1161"/>
      <c r="C40" s="1161"/>
      <c r="D40" s="1161"/>
      <c r="E40" s="1161"/>
      <c r="F40" s="1169">
        <v>14400</v>
      </c>
      <c r="G40" s="1170"/>
      <c r="H40" s="1152">
        <v>0</v>
      </c>
      <c r="I40" s="1152"/>
      <c r="J40" s="1174"/>
      <c r="K40" s="591">
        <f>F40*H40</f>
        <v>0</v>
      </c>
      <c r="M40" s="41"/>
      <c r="N40" s="21"/>
    </row>
    <row r="41" spans="1:14" s="7" customFormat="1" ht="12.75">
      <c r="A41" s="1157" t="s">
        <v>584</v>
      </c>
      <c r="B41" s="1157"/>
      <c r="C41" s="1157"/>
      <c r="D41" s="1157"/>
      <c r="E41" s="1157"/>
      <c r="F41" s="1155" t="s">
        <v>110</v>
      </c>
      <c r="G41" s="1155"/>
      <c r="H41" s="1155" t="s">
        <v>485</v>
      </c>
      <c r="I41" s="1155"/>
      <c r="J41" s="1155"/>
      <c r="K41" s="398" t="s">
        <v>87</v>
      </c>
      <c r="M41" s="41"/>
      <c r="N41" s="21"/>
    </row>
    <row r="42" spans="1:14" s="7" customFormat="1" ht="15.75">
      <c r="A42" s="1176" t="s">
        <v>483</v>
      </c>
      <c r="B42" s="1176"/>
      <c r="C42" s="1176"/>
      <c r="D42" s="1176"/>
      <c r="E42" s="1176"/>
      <c r="F42" s="1169">
        <v>4116</v>
      </c>
      <c r="G42" s="1170"/>
      <c r="H42" s="1152">
        <v>0</v>
      </c>
      <c r="I42" s="1152"/>
      <c r="J42" s="1152"/>
      <c r="K42" s="592">
        <f>F42*H42</f>
        <v>0</v>
      </c>
      <c r="M42" s="41"/>
      <c r="N42" s="21"/>
    </row>
    <row r="43" spans="1:14" s="7" customFormat="1" ht="15.75">
      <c r="A43" s="1176" t="s">
        <v>484</v>
      </c>
      <c r="B43" s="1176"/>
      <c r="C43" s="1176"/>
      <c r="D43" s="1176"/>
      <c r="E43" s="1176"/>
      <c r="F43" s="1169">
        <v>27440</v>
      </c>
      <c r="G43" s="1170"/>
      <c r="H43" s="1152">
        <v>0</v>
      </c>
      <c r="I43" s="1152"/>
      <c r="J43" s="1152"/>
      <c r="K43" s="592">
        <f>F43*H43</f>
        <v>0</v>
      </c>
      <c r="M43" s="41"/>
      <c r="N43" s="21"/>
    </row>
    <row r="44" spans="1:14" s="7" customFormat="1" ht="32.25" customHeight="1">
      <c r="A44" s="1161" t="s">
        <v>583</v>
      </c>
      <c r="B44" s="1161"/>
      <c r="C44" s="1161"/>
      <c r="D44" s="1161"/>
      <c r="E44" s="1161"/>
      <c r="F44" s="1169">
        <v>7894.444444444444</v>
      </c>
      <c r="G44" s="1170"/>
      <c r="H44" s="1152">
        <v>0</v>
      </c>
      <c r="I44" s="1152"/>
      <c r="J44" s="1152"/>
      <c r="K44" s="592">
        <f>F44*H44</f>
        <v>0</v>
      </c>
      <c r="M44" s="41"/>
      <c r="N44" s="21"/>
    </row>
    <row r="45" spans="1:14" s="7" customFormat="1" ht="26.25" customHeight="1">
      <c r="A45" s="1157" t="s">
        <v>585</v>
      </c>
      <c r="B45" s="1157"/>
      <c r="C45" s="1157"/>
      <c r="D45" s="1157"/>
      <c r="E45" s="1157"/>
      <c r="F45" s="1155" t="s">
        <v>111</v>
      </c>
      <c r="G45" s="1155"/>
      <c r="H45" s="1155" t="s">
        <v>252</v>
      </c>
      <c r="I45" s="1155"/>
      <c r="J45" s="1155"/>
      <c r="K45" s="398" t="s">
        <v>87</v>
      </c>
      <c r="M45" s="41"/>
      <c r="N45" s="21"/>
    </row>
    <row r="46" spans="1:14" s="7" customFormat="1" ht="15.75">
      <c r="A46" s="1161" t="s">
        <v>586</v>
      </c>
      <c r="B46" s="1161"/>
      <c r="C46" s="1161"/>
      <c r="D46" s="1161"/>
      <c r="E46" s="1161"/>
      <c r="F46" s="1169">
        <v>15000</v>
      </c>
      <c r="G46" s="1170"/>
      <c r="H46" s="1152">
        <v>0</v>
      </c>
      <c r="I46" s="1152"/>
      <c r="J46" s="1152"/>
      <c r="K46" s="591">
        <f aca="true" t="shared" si="2" ref="K46:K56">F46*H46</f>
        <v>0</v>
      </c>
      <c r="M46" s="41"/>
      <c r="N46" s="21"/>
    </row>
    <row r="47" spans="1:14" s="7" customFormat="1" ht="15.75">
      <c r="A47" s="1161" t="s">
        <v>333</v>
      </c>
      <c r="B47" s="1161"/>
      <c r="C47" s="1161"/>
      <c r="D47" s="1161"/>
      <c r="E47" s="1161"/>
      <c r="F47" s="1169">
        <v>4800</v>
      </c>
      <c r="G47" s="1170"/>
      <c r="H47" s="1152">
        <v>0</v>
      </c>
      <c r="I47" s="1152"/>
      <c r="J47" s="1152"/>
      <c r="K47" s="592">
        <f t="shared" si="2"/>
        <v>0</v>
      </c>
      <c r="M47" s="41"/>
      <c r="N47" s="21"/>
    </row>
    <row r="48" spans="1:14" s="7" customFormat="1" ht="19.5" customHeight="1">
      <c r="A48" s="1161" t="s">
        <v>334</v>
      </c>
      <c r="B48" s="1161"/>
      <c r="C48" s="1161"/>
      <c r="D48" s="1161"/>
      <c r="E48" s="1161"/>
      <c r="F48" s="1169">
        <v>4800</v>
      </c>
      <c r="G48" s="1170"/>
      <c r="H48" s="1152">
        <v>0</v>
      </c>
      <c r="I48" s="1152"/>
      <c r="J48" s="1152"/>
      <c r="K48" s="592">
        <f t="shared" si="2"/>
        <v>0</v>
      </c>
      <c r="M48" s="41"/>
      <c r="N48" s="21"/>
    </row>
    <row r="49" spans="1:14" ht="15.75" customHeight="1">
      <c r="A49" s="1161" t="s">
        <v>966</v>
      </c>
      <c r="B49" s="1161"/>
      <c r="C49" s="1161"/>
      <c r="D49" s="1161"/>
      <c r="E49" s="1161"/>
      <c r="F49" s="1169">
        <v>9600</v>
      </c>
      <c r="G49" s="1170"/>
      <c r="H49" s="1152">
        <v>0</v>
      </c>
      <c r="I49" s="1152"/>
      <c r="J49" s="1174"/>
      <c r="K49" s="591">
        <f t="shared" si="2"/>
        <v>0</v>
      </c>
      <c r="M49" s="41"/>
      <c r="N49" s="21"/>
    </row>
    <row r="50" spans="1:14" ht="15.75">
      <c r="A50" s="1161" t="s">
        <v>1057</v>
      </c>
      <c r="B50" s="1161"/>
      <c r="C50" s="1161"/>
      <c r="D50" s="1161"/>
      <c r="E50" s="1161"/>
      <c r="F50" s="1169">
        <v>4800</v>
      </c>
      <c r="G50" s="1170"/>
      <c r="H50" s="1152">
        <v>0</v>
      </c>
      <c r="I50" s="1152"/>
      <c r="J50" s="1174"/>
      <c r="K50" s="591">
        <f t="shared" si="2"/>
        <v>0</v>
      </c>
      <c r="M50" s="41"/>
      <c r="N50" s="21"/>
    </row>
    <row r="51" spans="1:14" ht="15.75">
      <c r="A51" s="1161" t="s">
        <v>1056</v>
      </c>
      <c r="B51" s="1161"/>
      <c r="C51" s="1161"/>
      <c r="D51" s="1161"/>
      <c r="E51" s="1161"/>
      <c r="F51" s="1169">
        <v>4200</v>
      </c>
      <c r="G51" s="1170"/>
      <c r="H51" s="1152">
        <v>0</v>
      </c>
      <c r="I51" s="1152"/>
      <c r="J51" s="1174"/>
      <c r="K51" s="591">
        <f t="shared" si="2"/>
        <v>0</v>
      </c>
      <c r="M51" s="41"/>
      <c r="N51" s="21"/>
    </row>
    <row r="52" spans="1:14" ht="15.75">
      <c r="A52" s="1161" t="s">
        <v>280</v>
      </c>
      <c r="B52" s="1161"/>
      <c r="C52" s="1161"/>
      <c r="D52" s="1161"/>
      <c r="E52" s="1161"/>
      <c r="F52" s="1169">
        <v>1200</v>
      </c>
      <c r="G52" s="1170"/>
      <c r="H52" s="1152">
        <v>0</v>
      </c>
      <c r="I52" s="1152"/>
      <c r="J52" s="1174"/>
      <c r="K52" s="591">
        <f t="shared" si="2"/>
        <v>0</v>
      </c>
      <c r="M52" s="41"/>
      <c r="N52" s="21"/>
    </row>
    <row r="53" spans="1:14" ht="15.75">
      <c r="A53" s="1161" t="s">
        <v>281</v>
      </c>
      <c r="B53" s="1161"/>
      <c r="C53" s="1161"/>
      <c r="D53" s="1161"/>
      <c r="E53" s="1161"/>
      <c r="F53" s="1169">
        <v>6000</v>
      </c>
      <c r="G53" s="1170"/>
      <c r="H53" s="1152">
        <v>0</v>
      </c>
      <c r="I53" s="1152"/>
      <c r="J53" s="1152"/>
      <c r="K53" s="591">
        <f t="shared" si="2"/>
        <v>0</v>
      </c>
      <c r="M53" s="41"/>
      <c r="N53" s="21"/>
    </row>
    <row r="54" spans="1:14" ht="29.25" customHeight="1">
      <c r="A54" s="1161" t="s">
        <v>1063</v>
      </c>
      <c r="B54" s="1161"/>
      <c r="C54" s="1161"/>
      <c r="D54" s="1161"/>
      <c r="E54" s="1161"/>
      <c r="F54" s="1169">
        <v>31200</v>
      </c>
      <c r="G54" s="1170"/>
      <c r="H54" s="1152">
        <v>0</v>
      </c>
      <c r="I54" s="1152"/>
      <c r="J54" s="1174"/>
      <c r="K54" s="591">
        <f t="shared" si="2"/>
        <v>0</v>
      </c>
      <c r="M54" s="41"/>
      <c r="N54" s="21"/>
    </row>
    <row r="55" spans="1:14" ht="17.25" customHeight="1">
      <c r="A55" s="1191" t="s">
        <v>965</v>
      </c>
      <c r="B55" s="1191"/>
      <c r="C55" s="1191"/>
      <c r="D55" s="1191"/>
      <c r="E55" s="1191"/>
      <c r="F55" s="1169">
        <v>7200</v>
      </c>
      <c r="G55" s="1170"/>
      <c r="H55" s="1152">
        <v>0</v>
      </c>
      <c r="I55" s="1152"/>
      <c r="J55" s="1152"/>
      <c r="K55" s="592">
        <f t="shared" si="2"/>
        <v>0</v>
      </c>
      <c r="M55" s="41"/>
      <c r="N55" s="21"/>
    </row>
    <row r="56" spans="1:14" ht="24.75" customHeight="1">
      <c r="A56" s="1161" t="s">
        <v>1064</v>
      </c>
      <c r="B56" s="1161"/>
      <c r="C56" s="1161"/>
      <c r="D56" s="1161"/>
      <c r="E56" s="1161"/>
      <c r="F56" s="1169">
        <v>24010</v>
      </c>
      <c r="G56" s="1170"/>
      <c r="H56" s="1152">
        <v>0</v>
      </c>
      <c r="I56" s="1152"/>
      <c r="J56" s="1152"/>
      <c r="K56" s="592">
        <f t="shared" si="2"/>
        <v>0</v>
      </c>
      <c r="M56" s="41"/>
      <c r="N56" s="21"/>
    </row>
    <row r="57" spans="1:14" ht="12.75">
      <c r="A57" s="1157" t="s">
        <v>587</v>
      </c>
      <c r="B57" s="1157"/>
      <c r="C57" s="1157"/>
      <c r="D57" s="1157"/>
      <c r="E57" s="1157"/>
      <c r="F57" s="1155" t="s">
        <v>110</v>
      </c>
      <c r="G57" s="1155"/>
      <c r="H57" s="1155" t="s">
        <v>252</v>
      </c>
      <c r="I57" s="1155"/>
      <c r="J57" s="1155"/>
      <c r="K57" s="398" t="s">
        <v>87</v>
      </c>
      <c r="M57" s="41"/>
      <c r="N57" s="21"/>
    </row>
    <row r="58" spans="1:14" ht="15.75">
      <c r="A58" s="1192" t="s">
        <v>483</v>
      </c>
      <c r="B58" s="1192"/>
      <c r="C58" s="1192"/>
      <c r="D58" s="1192"/>
      <c r="E58" s="1192"/>
      <c r="F58" s="1169">
        <v>13720</v>
      </c>
      <c r="G58" s="1170"/>
      <c r="H58" s="1152">
        <v>0</v>
      </c>
      <c r="I58" s="1152"/>
      <c r="J58" s="1152"/>
      <c r="K58" s="695">
        <f>F58*H58</f>
        <v>0</v>
      </c>
      <c r="M58" s="41"/>
      <c r="N58" s="21"/>
    </row>
    <row r="59" spans="1:14" ht="15.75">
      <c r="A59" s="1192" t="s">
        <v>484</v>
      </c>
      <c r="B59" s="1192"/>
      <c r="C59" s="1192"/>
      <c r="D59" s="1192"/>
      <c r="E59" s="1192"/>
      <c r="F59" s="1169">
        <v>68600</v>
      </c>
      <c r="G59" s="1170"/>
      <c r="H59" s="1152">
        <v>0</v>
      </c>
      <c r="I59" s="1152"/>
      <c r="J59" s="1152"/>
      <c r="K59" s="592">
        <f>F59*H59</f>
        <v>0</v>
      </c>
      <c r="M59" s="41"/>
      <c r="N59" s="21"/>
    </row>
    <row r="60" spans="1:14" ht="12.75">
      <c r="A60" s="1157" t="s">
        <v>1065</v>
      </c>
      <c r="B60" s="1157"/>
      <c r="C60" s="1157"/>
      <c r="D60" s="1157"/>
      <c r="E60" s="1157"/>
      <c r="F60" s="1155" t="s">
        <v>111</v>
      </c>
      <c r="G60" s="1155"/>
      <c r="H60" s="1155" t="s">
        <v>252</v>
      </c>
      <c r="I60" s="1155"/>
      <c r="J60" s="1155"/>
      <c r="K60" s="398" t="s">
        <v>87</v>
      </c>
      <c r="M60" s="41"/>
      <c r="N60" s="21"/>
    </row>
    <row r="61" spans="1:14" ht="15.75">
      <c r="A61" s="1161" t="s">
        <v>586</v>
      </c>
      <c r="B61" s="1161"/>
      <c r="C61" s="1161"/>
      <c r="D61" s="1161"/>
      <c r="E61" s="1161"/>
      <c r="F61" s="1169">
        <v>15000</v>
      </c>
      <c r="G61" s="1170"/>
      <c r="H61" s="1152">
        <v>0</v>
      </c>
      <c r="I61" s="1152"/>
      <c r="J61" s="1152"/>
      <c r="K61" s="591">
        <f aca="true" t="shared" si="3" ref="K61:K67">F61*H61</f>
        <v>0</v>
      </c>
      <c r="M61" s="41"/>
      <c r="N61" s="21"/>
    </row>
    <row r="62" spans="1:14" ht="15.75">
      <c r="A62" s="1161" t="s">
        <v>333</v>
      </c>
      <c r="B62" s="1161"/>
      <c r="C62" s="1161"/>
      <c r="D62" s="1161"/>
      <c r="E62" s="1161"/>
      <c r="F62" s="1169">
        <v>4800</v>
      </c>
      <c r="G62" s="1170"/>
      <c r="H62" s="1152">
        <v>0</v>
      </c>
      <c r="I62" s="1152"/>
      <c r="J62" s="1152"/>
      <c r="K62" s="592">
        <f t="shared" si="3"/>
        <v>0</v>
      </c>
      <c r="M62" s="41"/>
      <c r="N62" s="21"/>
    </row>
    <row r="63" spans="1:14" ht="15.75">
      <c r="A63" s="1161" t="s">
        <v>334</v>
      </c>
      <c r="B63" s="1161"/>
      <c r="C63" s="1161"/>
      <c r="D63" s="1161"/>
      <c r="E63" s="1161"/>
      <c r="F63" s="1169">
        <v>4800</v>
      </c>
      <c r="G63" s="1170"/>
      <c r="H63" s="1152">
        <v>0</v>
      </c>
      <c r="I63" s="1152"/>
      <c r="J63" s="1152"/>
      <c r="K63" s="592">
        <f t="shared" si="3"/>
        <v>0</v>
      </c>
      <c r="M63" s="41"/>
      <c r="N63" s="21"/>
    </row>
    <row r="64" spans="1:14" ht="15.75">
      <c r="A64" s="1161" t="s">
        <v>966</v>
      </c>
      <c r="B64" s="1161"/>
      <c r="C64" s="1161"/>
      <c r="D64" s="1161"/>
      <c r="E64" s="1161"/>
      <c r="F64" s="1169">
        <v>9600</v>
      </c>
      <c r="G64" s="1170"/>
      <c r="H64" s="1152">
        <v>0</v>
      </c>
      <c r="I64" s="1152"/>
      <c r="J64" s="1174"/>
      <c r="K64" s="591">
        <f>F64*H64</f>
        <v>0</v>
      </c>
      <c r="M64" s="41"/>
      <c r="N64" s="21"/>
    </row>
    <row r="65" spans="1:14" s="7" customFormat="1" ht="15.75">
      <c r="A65" s="1161" t="s">
        <v>967</v>
      </c>
      <c r="B65" s="1161"/>
      <c r="C65" s="1161"/>
      <c r="D65" s="1161"/>
      <c r="E65" s="1161"/>
      <c r="F65" s="1169">
        <v>14400</v>
      </c>
      <c r="G65" s="1170"/>
      <c r="H65" s="1152">
        <v>0</v>
      </c>
      <c r="I65" s="1152"/>
      <c r="J65" s="1174"/>
      <c r="K65" s="591">
        <f t="shared" si="3"/>
        <v>0</v>
      </c>
      <c r="M65" s="41"/>
      <c r="N65" s="21"/>
    </row>
    <row r="66" spans="1:14" s="7" customFormat="1" ht="15.75">
      <c r="A66" s="1161" t="s">
        <v>1057</v>
      </c>
      <c r="B66" s="1161"/>
      <c r="C66" s="1161"/>
      <c r="D66" s="1161"/>
      <c r="E66" s="1161"/>
      <c r="F66" s="1169">
        <v>4800</v>
      </c>
      <c r="G66" s="1170"/>
      <c r="H66" s="1152">
        <v>0</v>
      </c>
      <c r="I66" s="1152"/>
      <c r="J66" s="1174"/>
      <c r="K66" s="591">
        <f t="shared" si="3"/>
        <v>0</v>
      </c>
      <c r="M66" s="41"/>
      <c r="N66" s="21"/>
    </row>
    <row r="67" spans="1:14" s="7" customFormat="1" ht="15.75">
      <c r="A67" s="1161" t="s">
        <v>1056</v>
      </c>
      <c r="B67" s="1161"/>
      <c r="C67" s="1161"/>
      <c r="D67" s="1161"/>
      <c r="E67" s="1161"/>
      <c r="F67" s="1169">
        <v>4200</v>
      </c>
      <c r="G67" s="1170"/>
      <c r="H67" s="1152">
        <v>0</v>
      </c>
      <c r="I67" s="1152"/>
      <c r="J67" s="1174"/>
      <c r="K67" s="591">
        <f t="shared" si="3"/>
        <v>0</v>
      </c>
      <c r="M67" s="41"/>
      <c r="N67" s="21"/>
    </row>
    <row r="68" spans="1:11" ht="12.75" customHeight="1">
      <c r="A68" s="1175" t="s">
        <v>703</v>
      </c>
      <c r="B68" s="1175"/>
      <c r="C68" s="1175"/>
      <c r="D68" s="1175"/>
      <c r="E68" s="1175"/>
      <c r="F68" s="1175"/>
      <c r="G68" s="1175"/>
      <c r="H68" s="1175"/>
      <c r="I68" s="1175"/>
      <c r="J68" s="1175"/>
      <c r="K68" s="1175"/>
    </row>
    <row r="69" spans="1:11" ht="12.75" customHeight="1">
      <c r="A69" s="1175" t="s">
        <v>704</v>
      </c>
      <c r="B69" s="1175"/>
      <c r="C69" s="1175"/>
      <c r="D69" s="1175"/>
      <c r="E69" s="1175"/>
      <c r="F69" s="1175"/>
      <c r="G69" s="1175"/>
      <c r="H69" s="1175"/>
      <c r="I69" s="1175"/>
      <c r="J69" s="1175"/>
      <c r="K69" s="1175"/>
    </row>
    <row r="70" spans="1:11" ht="12.75" customHeight="1">
      <c r="A70" s="1175" t="s">
        <v>181</v>
      </c>
      <c r="B70" s="1175"/>
      <c r="C70" s="1175"/>
      <c r="D70" s="1175"/>
      <c r="E70" s="1175"/>
      <c r="F70" s="1175"/>
      <c r="G70" s="1175"/>
      <c r="H70" s="1175"/>
      <c r="I70" s="1175"/>
      <c r="J70" s="1175"/>
      <c r="K70" s="1175"/>
    </row>
    <row r="71" spans="1:11" ht="15.75" customHeight="1">
      <c r="A71" s="7"/>
      <c r="B71" s="7"/>
      <c r="C71" s="7"/>
      <c r="D71" s="7"/>
      <c r="E71" s="1069" t="s">
        <v>80</v>
      </c>
      <c r="F71" s="1069"/>
      <c r="G71" s="1069"/>
      <c r="H71" s="1069"/>
      <c r="I71" s="1069"/>
      <c r="J71" s="1164"/>
      <c r="K71" s="665">
        <f>SUM(K18:K67)</f>
        <v>0</v>
      </c>
    </row>
    <row r="72" spans="1:11" ht="15.75">
      <c r="A72" s="7"/>
      <c r="B72" s="7"/>
      <c r="C72" s="7"/>
      <c r="D72" s="7"/>
      <c r="E72" s="1069" t="s">
        <v>103</v>
      </c>
      <c r="F72" s="1069"/>
      <c r="G72" s="1069"/>
      <c r="H72" s="1069"/>
      <c r="I72" s="1069"/>
      <c r="J72" s="1164"/>
      <c r="K72" s="665">
        <f>K71*0.18</f>
        <v>0</v>
      </c>
    </row>
    <row r="73" spans="1:11" ht="15.75" customHeight="1">
      <c r="A73" s="7"/>
      <c r="B73" s="7"/>
      <c r="C73" s="7"/>
      <c r="D73" s="7"/>
      <c r="E73" s="1069" t="s">
        <v>82</v>
      </c>
      <c r="F73" s="1069"/>
      <c r="G73" s="1069"/>
      <c r="H73" s="1069"/>
      <c r="I73" s="1069"/>
      <c r="J73" s="1164"/>
      <c r="K73" s="666">
        <f>K71+K72</f>
        <v>0</v>
      </c>
    </row>
    <row r="74" spans="1:19" s="626" customFormat="1" ht="53.25" customHeight="1">
      <c r="A74" s="1113" t="s">
        <v>83</v>
      </c>
      <c r="B74" s="1113"/>
      <c r="C74" s="1113"/>
      <c r="D74" s="1113"/>
      <c r="E74" s="1113"/>
      <c r="F74" s="1113"/>
      <c r="G74" s="1113"/>
      <c r="H74" s="1113"/>
      <c r="I74" s="1113"/>
      <c r="J74" s="1113"/>
      <c r="K74" s="1113"/>
      <c r="L74" s="625"/>
      <c r="M74" s="625"/>
      <c r="N74" s="625"/>
      <c r="O74" s="625"/>
      <c r="P74" s="625"/>
      <c r="Q74" s="625"/>
      <c r="R74" s="625"/>
      <c r="S74" s="625"/>
    </row>
    <row r="75" spans="1:20" s="626" customFormat="1" ht="53.25" customHeight="1">
      <c r="A75" s="1113" t="s">
        <v>719</v>
      </c>
      <c r="B75" s="1113"/>
      <c r="C75" s="1113"/>
      <c r="D75" s="1113"/>
      <c r="E75" s="1113"/>
      <c r="F75" s="1113"/>
      <c r="G75" s="1113"/>
      <c r="H75" s="1113"/>
      <c r="I75" s="1113"/>
      <c r="J75" s="1113"/>
      <c r="K75" s="1113"/>
      <c r="L75" s="625"/>
      <c r="M75" s="625"/>
      <c r="N75" s="625"/>
      <c r="O75" s="625"/>
      <c r="P75" s="625"/>
      <c r="Q75" s="625"/>
      <c r="R75" s="625"/>
      <c r="S75" s="625"/>
      <c r="T75" s="625"/>
    </row>
    <row r="76" spans="1:20" s="626" customFormat="1" ht="25.5" customHeight="1">
      <c r="A76" s="1113" t="s">
        <v>718</v>
      </c>
      <c r="B76" s="1113"/>
      <c r="C76" s="1113"/>
      <c r="D76" s="1113"/>
      <c r="E76" s="1113"/>
      <c r="F76" s="1113"/>
      <c r="G76" s="1113"/>
      <c r="H76" s="1113"/>
      <c r="I76" s="1113"/>
      <c r="J76" s="1113"/>
      <c r="K76" s="1113"/>
      <c r="L76" s="625"/>
      <c r="M76" s="625"/>
      <c r="N76" s="625"/>
      <c r="O76" s="625"/>
      <c r="P76" s="625"/>
      <c r="Q76" s="625"/>
      <c r="R76" s="625"/>
      <c r="S76" s="625"/>
      <c r="T76" s="625"/>
    </row>
    <row r="77" spans="1:11" ht="25.5" customHeight="1">
      <c r="A77" s="620"/>
      <c r="B77" s="620"/>
      <c r="C77" s="620"/>
      <c r="D77" s="620"/>
      <c r="E77" s="620"/>
      <c r="F77" s="620"/>
      <c r="G77" s="620"/>
      <c r="H77" s="620"/>
      <c r="I77" s="620"/>
      <c r="J77" s="620"/>
      <c r="K77" s="42"/>
    </row>
    <row r="78" spans="1:11" ht="11.25" customHeight="1">
      <c r="A78" s="1173" t="s">
        <v>939</v>
      </c>
      <c r="B78" s="1173"/>
      <c r="C78" s="7"/>
      <c r="D78" s="7"/>
      <c r="E78" s="7"/>
      <c r="F78" s="7"/>
      <c r="G78" s="7"/>
      <c r="H78" s="7"/>
      <c r="I78" s="7"/>
      <c r="J78" s="7"/>
      <c r="K78" s="7"/>
    </row>
    <row r="79" spans="1:20" s="624" customFormat="1" ht="22.5" customHeight="1">
      <c r="A79" s="989" t="s">
        <v>319</v>
      </c>
      <c r="B79" s="989"/>
      <c r="C79" s="989"/>
      <c r="D79" s="989"/>
      <c r="E79" s="989"/>
      <c r="F79" s="44" t="s">
        <v>564</v>
      </c>
      <c r="G79" s="710" t="str">
        <f>CONCATENATE('Заявка стр. 1'!B4)</f>
        <v>АО "Научно-производственный центр "Вигстар"</v>
      </c>
      <c r="H79" s="710"/>
      <c r="I79" s="710"/>
      <c r="J79" s="710"/>
      <c r="K79" s="710"/>
      <c r="L79" s="369"/>
      <c r="M79" s="369"/>
      <c r="N79" s="369"/>
      <c r="O79" s="369"/>
      <c r="P79" s="369"/>
      <c r="Q79" s="369"/>
      <c r="R79" s="369"/>
      <c r="S79" s="369"/>
      <c r="T79" s="369"/>
    </row>
    <row r="80" spans="1:11" ht="12.75" customHeight="1">
      <c r="A80" s="989" t="s">
        <v>1091</v>
      </c>
      <c r="B80" s="989"/>
      <c r="C80" s="989"/>
      <c r="D80" s="989"/>
      <c r="E80" s="989"/>
      <c r="F80" s="47"/>
      <c r="G80" s="704" t="str">
        <f>CONCATENATE('Заявка стр. 1'!B17)</f>
        <v>Заместитель генерального директора по экономике и финансам</v>
      </c>
      <c r="H80" s="704"/>
      <c r="I80" s="704"/>
      <c r="J80" s="704"/>
      <c r="K80" s="704"/>
    </row>
    <row r="81" spans="1:11" ht="12.75">
      <c r="A81" s="623" t="s">
        <v>729</v>
      </c>
      <c r="B81" s="48"/>
      <c r="C81" s="48"/>
      <c r="D81" s="48"/>
      <c r="E81" s="48"/>
      <c r="F81" s="47"/>
      <c r="G81" s="584"/>
      <c r="H81" s="584"/>
      <c r="I81" s="584"/>
      <c r="J81" s="584"/>
      <c r="K81" s="584"/>
    </row>
    <row r="82" spans="1:11" ht="12.75" customHeight="1">
      <c r="A82" s="991" t="s">
        <v>722</v>
      </c>
      <c r="B82" s="991"/>
      <c r="C82" s="991"/>
      <c r="D82" s="991"/>
      <c r="E82" s="991"/>
      <c r="F82" s="44"/>
      <c r="G82" s="988" t="str">
        <f>CONCATENATE('Заявка стр. 1'!A19)</f>
        <v>Короткевич Олег Иосифович</v>
      </c>
      <c r="H82" s="988"/>
      <c r="I82" s="988"/>
      <c r="J82" s="988"/>
      <c r="K82" s="988"/>
    </row>
    <row r="83" spans="1:11" ht="12.75" customHeight="1">
      <c r="A83" s="1171" t="s">
        <v>562</v>
      </c>
      <c r="B83" s="1171"/>
      <c r="C83" s="1171"/>
      <c r="D83" s="1171"/>
      <c r="E83" s="1171"/>
      <c r="F83" s="44"/>
      <c r="G83" s="1172" t="s">
        <v>414</v>
      </c>
      <c r="H83" s="1172"/>
      <c r="I83" s="1172"/>
      <c r="J83" s="1172"/>
      <c r="K83" s="1172"/>
    </row>
    <row r="84" spans="1:11" ht="12.75" customHeight="1">
      <c r="A84" s="982" t="s">
        <v>747</v>
      </c>
      <c r="B84" s="982"/>
      <c r="C84" s="982"/>
      <c r="D84" s="982"/>
      <c r="E84" s="982"/>
      <c r="F84" s="40"/>
      <c r="G84" s="820" t="s">
        <v>747</v>
      </c>
      <c r="H84" s="820"/>
      <c r="I84" s="820"/>
      <c r="J84" s="820"/>
      <c r="K84" s="820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</sheetData>
  <sheetProtection password="CC03" sheet="1" selectLockedCells="1"/>
  <mergeCells count="196">
    <mergeCell ref="A64:E64"/>
    <mergeCell ref="F64:G64"/>
    <mergeCell ref="H64:J64"/>
    <mergeCell ref="A67:E67"/>
    <mergeCell ref="F67:G67"/>
    <mergeCell ref="H67:J67"/>
    <mergeCell ref="A65:E65"/>
    <mergeCell ref="F65:G65"/>
    <mergeCell ref="H65:J65"/>
    <mergeCell ref="A66:E66"/>
    <mergeCell ref="A62:E62"/>
    <mergeCell ref="F62:G62"/>
    <mergeCell ref="H62:J62"/>
    <mergeCell ref="A63:E63"/>
    <mergeCell ref="F63:G63"/>
    <mergeCell ref="H63:J63"/>
    <mergeCell ref="F66:G66"/>
    <mergeCell ref="H66:J66"/>
    <mergeCell ref="A60:E60"/>
    <mergeCell ref="F60:G60"/>
    <mergeCell ref="H60:J60"/>
    <mergeCell ref="A61:E61"/>
    <mergeCell ref="F61:G61"/>
    <mergeCell ref="H61:J61"/>
    <mergeCell ref="A58:E58"/>
    <mergeCell ref="F58:G58"/>
    <mergeCell ref="H58:J58"/>
    <mergeCell ref="A59:E59"/>
    <mergeCell ref="F59:G59"/>
    <mergeCell ref="H59:J59"/>
    <mergeCell ref="A56:E56"/>
    <mergeCell ref="F56:G56"/>
    <mergeCell ref="H56:J56"/>
    <mergeCell ref="A57:E57"/>
    <mergeCell ref="F57:G57"/>
    <mergeCell ref="H57:J57"/>
    <mergeCell ref="A54:E54"/>
    <mergeCell ref="F54:G54"/>
    <mergeCell ref="H54:J54"/>
    <mergeCell ref="A55:E55"/>
    <mergeCell ref="F55:G55"/>
    <mergeCell ref="H55:J55"/>
    <mergeCell ref="A52:E52"/>
    <mergeCell ref="F52:G52"/>
    <mergeCell ref="H52:J52"/>
    <mergeCell ref="A53:E53"/>
    <mergeCell ref="F53:G53"/>
    <mergeCell ref="H53:J53"/>
    <mergeCell ref="A50:E50"/>
    <mergeCell ref="F50:G50"/>
    <mergeCell ref="H50:J50"/>
    <mergeCell ref="A51:E51"/>
    <mergeCell ref="F51:G51"/>
    <mergeCell ref="H51:J51"/>
    <mergeCell ref="F48:G48"/>
    <mergeCell ref="H48:J48"/>
    <mergeCell ref="A49:E49"/>
    <mergeCell ref="F49:G49"/>
    <mergeCell ref="H49:J49"/>
    <mergeCell ref="A48:E48"/>
    <mergeCell ref="A46:E46"/>
    <mergeCell ref="F46:G46"/>
    <mergeCell ref="H46:J46"/>
    <mergeCell ref="A47:E47"/>
    <mergeCell ref="F47:G47"/>
    <mergeCell ref="H47:J47"/>
    <mergeCell ref="H43:J43"/>
    <mergeCell ref="A44:E44"/>
    <mergeCell ref="F44:G44"/>
    <mergeCell ref="H44:J44"/>
    <mergeCell ref="A45:E45"/>
    <mergeCell ref="F45:G45"/>
    <mergeCell ref="H45:J45"/>
    <mergeCell ref="A38:E38"/>
    <mergeCell ref="F38:G38"/>
    <mergeCell ref="H38:J38"/>
    <mergeCell ref="A39:E39"/>
    <mergeCell ref="F39:G39"/>
    <mergeCell ref="H39:J39"/>
    <mergeCell ref="F28:G28"/>
    <mergeCell ref="A37:E37"/>
    <mergeCell ref="F37:G37"/>
    <mergeCell ref="H37:J37"/>
    <mergeCell ref="A35:E35"/>
    <mergeCell ref="F35:G35"/>
    <mergeCell ref="F30:G30"/>
    <mergeCell ref="H34:J34"/>
    <mergeCell ref="H33:J33"/>
    <mergeCell ref="A36:E36"/>
    <mergeCell ref="F36:G36"/>
    <mergeCell ref="H36:J36"/>
    <mergeCell ref="H35:J35"/>
    <mergeCell ref="H30:J30"/>
    <mergeCell ref="H29:J29"/>
    <mergeCell ref="F24:G24"/>
    <mergeCell ref="H24:J24"/>
    <mergeCell ref="H26:J26"/>
    <mergeCell ref="F21:G21"/>
    <mergeCell ref="H21:J21"/>
    <mergeCell ref="F22:G22"/>
    <mergeCell ref="H22:J22"/>
    <mergeCell ref="F23:G23"/>
    <mergeCell ref="H23:J23"/>
    <mergeCell ref="H25:J25"/>
    <mergeCell ref="H32:J32"/>
    <mergeCell ref="A25:E25"/>
    <mergeCell ref="A31:E31"/>
    <mergeCell ref="A28:E28"/>
    <mergeCell ref="F31:G31"/>
    <mergeCell ref="H28:J28"/>
    <mergeCell ref="F25:G25"/>
    <mergeCell ref="H27:J27"/>
    <mergeCell ref="A32:E32"/>
    <mergeCell ref="F32:G32"/>
    <mergeCell ref="A1:E1"/>
    <mergeCell ref="A2:B2"/>
    <mergeCell ref="C2:E2"/>
    <mergeCell ref="F1:F3"/>
    <mergeCell ref="F11:H11"/>
    <mergeCell ref="H20:J20"/>
    <mergeCell ref="H17:J17"/>
    <mergeCell ref="B5:C5"/>
    <mergeCell ref="F5:H7"/>
    <mergeCell ref="F16:G16"/>
    <mergeCell ref="H16:J16"/>
    <mergeCell ref="A7:C7"/>
    <mergeCell ref="A22:E22"/>
    <mergeCell ref="A16:E16"/>
    <mergeCell ref="A20:E20"/>
    <mergeCell ref="A21:E21"/>
    <mergeCell ref="A17:E17"/>
    <mergeCell ref="F20:G20"/>
    <mergeCell ref="A24:E24"/>
    <mergeCell ref="A15:K15"/>
    <mergeCell ref="G3:H3"/>
    <mergeCell ref="J3:K3"/>
    <mergeCell ref="B9:C9"/>
    <mergeCell ref="B11:C11"/>
    <mergeCell ref="C3:E3"/>
    <mergeCell ref="E14:K14"/>
    <mergeCell ref="F9:H9"/>
    <mergeCell ref="A23:E23"/>
    <mergeCell ref="A29:E29"/>
    <mergeCell ref="A26:E26"/>
    <mergeCell ref="A34:E34"/>
    <mergeCell ref="F34:G34"/>
    <mergeCell ref="A33:E33"/>
    <mergeCell ref="F33:G33"/>
    <mergeCell ref="A30:E30"/>
    <mergeCell ref="F26:G26"/>
    <mergeCell ref="F27:G27"/>
    <mergeCell ref="A27:E27"/>
    <mergeCell ref="E72:J72"/>
    <mergeCell ref="E73:J73"/>
    <mergeCell ref="A69:K69"/>
    <mergeCell ref="A70:K70"/>
    <mergeCell ref="L1:L38"/>
    <mergeCell ref="H31:J31"/>
    <mergeCell ref="F29:G29"/>
    <mergeCell ref="G1:K2"/>
    <mergeCell ref="A13:K13"/>
    <mergeCell ref="A14:C14"/>
    <mergeCell ref="A68:K68"/>
    <mergeCell ref="E71:J71"/>
    <mergeCell ref="A41:E41"/>
    <mergeCell ref="F41:G41"/>
    <mergeCell ref="H41:J41"/>
    <mergeCell ref="A42:E42"/>
    <mergeCell ref="F42:G42"/>
    <mergeCell ref="H42:J42"/>
    <mergeCell ref="A43:E43"/>
    <mergeCell ref="F43:G43"/>
    <mergeCell ref="A74:K74"/>
    <mergeCell ref="A75:K75"/>
    <mergeCell ref="A78:B78"/>
    <mergeCell ref="A79:E79"/>
    <mergeCell ref="G79:K79"/>
    <mergeCell ref="A76:K76"/>
    <mergeCell ref="A83:E83"/>
    <mergeCell ref="G83:K83"/>
    <mergeCell ref="A84:E84"/>
    <mergeCell ref="G84:K84"/>
    <mergeCell ref="A80:E80"/>
    <mergeCell ref="G80:K80"/>
    <mergeCell ref="A82:E82"/>
    <mergeCell ref="G82:K82"/>
    <mergeCell ref="A40:E40"/>
    <mergeCell ref="A18:E18"/>
    <mergeCell ref="A19:E19"/>
    <mergeCell ref="F17:G17"/>
    <mergeCell ref="F18:G18"/>
    <mergeCell ref="H18:J18"/>
    <mergeCell ref="F19:G19"/>
    <mergeCell ref="H19:J19"/>
    <mergeCell ref="F40:G40"/>
    <mergeCell ref="H40:J40"/>
  </mergeCells>
  <hyperlinks>
    <hyperlink ref="B11" r:id="rId1" display="leonid@b95.ru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4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Z137"/>
  <sheetViews>
    <sheetView zoomScale="115" zoomScaleNormal="115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7.875" style="1" customWidth="1"/>
    <col min="2" max="2" width="10.00390625" style="1" customWidth="1"/>
    <col min="3" max="3" width="10.375" style="1" customWidth="1"/>
    <col min="4" max="4" width="1.25" style="1" customWidth="1"/>
    <col min="5" max="5" width="9.125" style="1" customWidth="1"/>
    <col min="6" max="6" width="3.625" style="1" customWidth="1"/>
    <col min="7" max="7" width="11.25390625" style="1" customWidth="1"/>
    <col min="8" max="8" width="9.25390625" style="1" customWidth="1"/>
    <col min="9" max="9" width="10.75390625" style="1" customWidth="1"/>
    <col min="10" max="10" width="0.2421875" style="1" customWidth="1"/>
    <col min="11" max="11" width="8.875" style="1" customWidth="1"/>
    <col min="12" max="12" width="9.75390625" style="1" customWidth="1"/>
    <col min="13" max="13" width="5.25390625" style="7" customWidth="1"/>
    <col min="14" max="21" width="9.125" style="7" customWidth="1"/>
    <col min="22" max="16384" width="9.125" style="1" customWidth="1"/>
  </cols>
  <sheetData>
    <row r="1" spans="1:13" ht="14.25" customHeight="1">
      <c r="A1" s="1012" t="s">
        <v>139</v>
      </c>
      <c r="B1" s="1012"/>
      <c r="C1" s="1012"/>
      <c r="D1" s="1012"/>
      <c r="E1" s="1012"/>
      <c r="F1" s="1012"/>
      <c r="G1" s="1010">
        <v>8</v>
      </c>
      <c r="H1" s="1009" t="s">
        <v>590</v>
      </c>
      <c r="I1" s="1009"/>
      <c r="J1" s="1009"/>
      <c r="K1" s="1009"/>
      <c r="L1" s="1009"/>
      <c r="M1" s="1141"/>
    </row>
    <row r="2" spans="1:13" ht="21" customHeight="1">
      <c r="A2" s="1004" t="s">
        <v>696</v>
      </c>
      <c r="B2" s="1004"/>
      <c r="C2" s="1004" t="str">
        <f>'содержание '!C79</f>
        <v>ArmHiTec-2016</v>
      </c>
      <c r="D2" s="1004"/>
      <c r="E2" s="1004"/>
      <c r="F2" s="22"/>
      <c r="G2" s="1010"/>
      <c r="H2" s="1009"/>
      <c r="I2" s="1009"/>
      <c r="J2" s="1009"/>
      <c r="K2" s="1009"/>
      <c r="L2" s="1009"/>
      <c r="M2" s="1141"/>
    </row>
    <row r="3" spans="1:13" ht="24.75" customHeight="1">
      <c r="A3" s="417" t="s">
        <v>697</v>
      </c>
      <c r="B3" s="207" t="str">
        <f>CONCATENATE('содержание '!C104)</f>
        <v>/AHT</v>
      </c>
      <c r="C3" s="1005" t="s">
        <v>257</v>
      </c>
      <c r="D3" s="1005"/>
      <c r="E3" s="1005"/>
      <c r="F3" s="213"/>
      <c r="G3" s="1011"/>
      <c r="H3" s="1013" t="s">
        <v>624</v>
      </c>
      <c r="I3" s="1013"/>
      <c r="J3" s="214"/>
      <c r="K3" s="1002" t="str">
        <f>'содержание '!C95</f>
        <v>14 сентября 2016 г.</v>
      </c>
      <c r="L3" s="1002"/>
      <c r="M3" s="1141"/>
    </row>
    <row r="4" spans="1:16" ht="3.75" customHeight="1">
      <c r="A4" s="162"/>
      <c r="B4" s="162"/>
      <c r="C4" s="162"/>
      <c r="D4" s="162"/>
      <c r="E4" s="156"/>
      <c r="F4" s="155"/>
      <c r="G4" s="155"/>
      <c r="H4" s="158"/>
      <c r="I4" s="158"/>
      <c r="J4" s="158"/>
      <c r="K4" s="158"/>
      <c r="L4" s="158"/>
      <c r="M4" s="1141"/>
      <c r="P4" s="1"/>
    </row>
    <row r="5" spans="1:13" ht="12" customHeight="1">
      <c r="A5" s="315" t="s">
        <v>121</v>
      </c>
      <c r="B5" s="721" t="s">
        <v>981</v>
      </c>
      <c r="C5" s="721"/>
      <c r="D5" s="169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728"/>
      <c r="I5" s="728"/>
      <c r="J5" s="161"/>
      <c r="K5" s="686" t="s">
        <v>272</v>
      </c>
      <c r="L5" s="291">
        <f>'Заявка стр. 2'!L8</f>
        <v>0</v>
      </c>
      <c r="M5" s="1141"/>
    </row>
    <row r="6" spans="1:13" ht="2.25" customHeight="1">
      <c r="A6" s="193"/>
      <c r="B6" s="194"/>
      <c r="C6" s="165"/>
      <c r="D6" s="165"/>
      <c r="E6" s="155"/>
      <c r="F6" s="728"/>
      <c r="G6" s="728"/>
      <c r="H6" s="728"/>
      <c r="I6" s="728"/>
      <c r="J6" s="161"/>
      <c r="K6" s="153"/>
      <c r="L6" s="180"/>
      <c r="M6" s="1141"/>
    </row>
    <row r="7" spans="1:13" ht="12" customHeight="1">
      <c r="A7" s="721" t="s">
        <v>980</v>
      </c>
      <c r="B7" s="721"/>
      <c r="C7" s="721"/>
      <c r="D7" s="721"/>
      <c r="E7" s="174"/>
      <c r="F7" s="818"/>
      <c r="G7" s="818"/>
      <c r="H7" s="818"/>
      <c r="I7" s="818"/>
      <c r="J7" s="161"/>
      <c r="K7" s="153" t="s">
        <v>713</v>
      </c>
      <c r="L7" s="291">
        <f>'Заявка стр. 2'!L10</f>
        <v>0</v>
      </c>
      <c r="M7" s="1141"/>
    </row>
    <row r="8" spans="1:13" ht="2.25" customHeight="1">
      <c r="A8" s="166"/>
      <c r="B8" s="164"/>
      <c r="C8" s="167"/>
      <c r="D8" s="167"/>
      <c r="E8" s="157"/>
      <c r="F8" s="159"/>
      <c r="G8" s="179"/>
      <c r="H8" s="161"/>
      <c r="I8" s="161"/>
      <c r="J8" s="161"/>
      <c r="K8" s="154"/>
      <c r="L8" s="180"/>
      <c r="M8" s="1141"/>
    </row>
    <row r="9" spans="1:13" ht="12" customHeight="1">
      <c r="A9" s="170" t="s">
        <v>982</v>
      </c>
      <c r="B9" s="724" t="s">
        <v>1052</v>
      </c>
      <c r="C9" s="724"/>
      <c r="D9" s="171"/>
      <c r="E9" s="155" t="s">
        <v>977</v>
      </c>
      <c r="F9" s="159"/>
      <c r="G9" s="961" t="str">
        <f>CONCATENATE('Заявка стр. 1'!A25)</f>
        <v>Симонова Наталья Владимировна</v>
      </c>
      <c r="H9" s="961"/>
      <c r="I9" s="961"/>
      <c r="J9" s="161"/>
      <c r="K9" s="153" t="s">
        <v>979</v>
      </c>
      <c r="L9" s="291">
        <f>'Заявка стр. 2'!L12</f>
        <v>0</v>
      </c>
      <c r="M9" s="1141"/>
    </row>
    <row r="10" spans="1:13" ht="2.25" customHeight="1">
      <c r="A10" s="166"/>
      <c r="B10" s="164"/>
      <c r="C10" s="167"/>
      <c r="D10" s="167"/>
      <c r="E10" s="157"/>
      <c r="F10" s="159"/>
      <c r="G10" s="179"/>
      <c r="H10" s="161"/>
      <c r="I10" s="161"/>
      <c r="J10" s="161"/>
      <c r="K10" s="154"/>
      <c r="L10" s="180"/>
      <c r="M10" s="1141"/>
    </row>
    <row r="11" spans="1:13" ht="12" customHeight="1">
      <c r="A11" s="170" t="s">
        <v>595</v>
      </c>
      <c r="B11" s="1162" t="s">
        <v>570</v>
      </c>
      <c r="C11" s="1163"/>
      <c r="D11" s="171"/>
      <c r="E11" s="155" t="s">
        <v>978</v>
      </c>
      <c r="F11" s="159"/>
      <c r="G11" s="961" t="str">
        <f>CONCATENATE('Заявка стр. 1'!B27)</f>
        <v>(495) 276-52-71</v>
      </c>
      <c r="H11" s="961"/>
      <c r="I11" s="961"/>
      <c r="J11" s="161"/>
      <c r="K11" s="153"/>
      <c r="L11" s="180"/>
      <c r="M11" s="1141"/>
    </row>
    <row r="12" spans="1:13" ht="3.75" customHeight="1">
      <c r="A12" s="203"/>
      <c r="B12" s="234"/>
      <c r="C12" s="203"/>
      <c r="D12" s="235"/>
      <c r="E12" s="221"/>
      <c r="F12" s="221"/>
      <c r="G12" s="236"/>
      <c r="H12" s="236"/>
      <c r="I12" s="236"/>
      <c r="J12" s="237"/>
      <c r="K12" s="209"/>
      <c r="L12" s="223"/>
      <c r="M12" s="1141"/>
    </row>
    <row r="13" spans="1:21" s="156" customFormat="1" ht="26.25" customHeight="1">
      <c r="A13" s="960" t="s">
        <v>265</v>
      </c>
      <c r="B13" s="960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1141"/>
      <c r="N13" s="155"/>
      <c r="O13" s="155"/>
      <c r="P13" s="155"/>
      <c r="Q13" s="155"/>
      <c r="R13" s="155"/>
      <c r="S13" s="155"/>
      <c r="T13" s="155"/>
      <c r="U13" s="155"/>
    </row>
    <row r="14" spans="1:21" s="156" customFormat="1" ht="12.75" customHeight="1">
      <c r="A14" s="981" t="s">
        <v>695</v>
      </c>
      <c r="B14" s="981"/>
      <c r="C14" s="292" t="s">
        <v>172</v>
      </c>
      <c r="D14" s="292"/>
      <c r="E14" s="293"/>
      <c r="F14" s="293"/>
      <c r="G14" s="294"/>
      <c r="H14" s="981"/>
      <c r="I14" s="981"/>
      <c r="J14" s="981"/>
      <c r="K14" s="981"/>
      <c r="L14" s="981"/>
      <c r="M14" s="1141"/>
      <c r="N14" s="155"/>
      <c r="O14" s="155"/>
      <c r="P14" s="155"/>
      <c r="Q14" s="155"/>
      <c r="R14" s="155"/>
      <c r="S14" s="155"/>
      <c r="T14" s="155"/>
      <c r="U14" s="155"/>
    </row>
    <row r="15" spans="1:21" s="156" customFormat="1" ht="17.25" customHeight="1">
      <c r="A15" s="295" t="s">
        <v>922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141"/>
      <c r="N15" s="155"/>
      <c r="O15" s="155"/>
      <c r="P15" s="155"/>
      <c r="Q15" s="155"/>
      <c r="R15" s="155"/>
      <c r="S15" s="155"/>
      <c r="T15" s="155"/>
      <c r="U15" s="155"/>
    </row>
    <row r="16" spans="1:22" s="156" customFormat="1" ht="26.25" customHeight="1">
      <c r="A16" s="974" t="s">
        <v>736</v>
      </c>
      <c r="B16" s="974"/>
      <c r="C16" s="974"/>
      <c r="D16" s="974"/>
      <c r="E16" s="974"/>
      <c r="F16" s="974"/>
      <c r="G16" s="317" t="s">
        <v>112</v>
      </c>
      <c r="H16" s="190" t="s">
        <v>37</v>
      </c>
      <c r="I16" s="1003" t="s">
        <v>737</v>
      </c>
      <c r="J16" s="1003"/>
      <c r="K16" s="1003"/>
      <c r="L16" s="190" t="s">
        <v>87</v>
      </c>
      <c r="M16" s="1141"/>
      <c r="N16" s="299"/>
      <c r="O16" s="299"/>
      <c r="P16" s="188"/>
      <c r="Q16" s="188"/>
      <c r="R16" s="299"/>
      <c r="S16" s="299"/>
      <c r="T16" s="299"/>
      <c r="U16" s="299"/>
      <c r="V16" s="300"/>
    </row>
    <row r="17" spans="1:22" s="156" customFormat="1" ht="15.75">
      <c r="A17" s="1193" t="s">
        <v>738</v>
      </c>
      <c r="B17" s="1193"/>
      <c r="C17" s="1193"/>
      <c r="D17" s="1193"/>
      <c r="E17" s="1193"/>
      <c r="F17" s="1193"/>
      <c r="G17" s="640">
        <f>14*49</f>
        <v>686</v>
      </c>
      <c r="H17" s="616">
        <v>1</v>
      </c>
      <c r="I17" s="1195">
        <v>0</v>
      </c>
      <c r="J17" s="1195"/>
      <c r="K17" s="1195"/>
      <c r="L17" s="503">
        <f>G17*H17*I17</f>
        <v>0</v>
      </c>
      <c r="M17" s="1141"/>
      <c r="N17" s="159"/>
      <c r="O17" s="159"/>
      <c r="P17" s="159"/>
      <c r="Q17" s="159"/>
      <c r="R17" s="188"/>
      <c r="S17" s="301"/>
      <c r="T17" s="301"/>
      <c r="U17" s="301"/>
      <c r="V17" s="298"/>
    </row>
    <row r="18" spans="1:22" s="155" customFormat="1" ht="39.75" customHeight="1">
      <c r="A18" s="1194" t="s">
        <v>850</v>
      </c>
      <c r="B18" s="1194"/>
      <c r="C18" s="1194"/>
      <c r="D18" s="1194"/>
      <c r="E18" s="1194"/>
      <c r="F18" s="1194"/>
      <c r="G18" s="1194"/>
      <c r="H18" s="1194"/>
      <c r="I18" s="1194"/>
      <c r="J18" s="1194"/>
      <c r="K18" s="1194"/>
      <c r="L18" s="1194"/>
      <c r="M18" s="1141"/>
      <c r="N18" s="304"/>
      <c r="O18" s="304"/>
      <c r="P18" s="959"/>
      <c r="Q18" s="959"/>
      <c r="R18" s="959"/>
      <c r="S18" s="959"/>
      <c r="T18" s="304"/>
      <c r="U18" s="968"/>
      <c r="V18" s="968"/>
    </row>
    <row r="19" spans="1:22" s="156" customFormat="1" ht="3" customHeight="1">
      <c r="A19" s="155"/>
      <c r="B19" s="155"/>
      <c r="C19" s="155"/>
      <c r="D19" s="155"/>
      <c r="E19" s="155"/>
      <c r="F19" s="299"/>
      <c r="G19" s="299"/>
      <c r="H19" s="299"/>
      <c r="I19" s="299"/>
      <c r="J19" s="299"/>
      <c r="K19" s="299"/>
      <c r="L19" s="304"/>
      <c r="M19" s="1141"/>
      <c r="N19" s="299"/>
      <c r="O19" s="299"/>
      <c r="P19" s="188"/>
      <c r="Q19" s="188"/>
      <c r="R19" s="299"/>
      <c r="S19" s="299"/>
      <c r="T19" s="299"/>
      <c r="U19" s="299"/>
      <c r="V19" s="300"/>
    </row>
    <row r="20" spans="1:22" s="156" customFormat="1" ht="23.25" customHeight="1">
      <c r="A20" s="974" t="s">
        <v>264</v>
      </c>
      <c r="B20" s="974"/>
      <c r="C20" s="974"/>
      <c r="D20" s="974"/>
      <c r="E20" s="974"/>
      <c r="F20" s="974"/>
      <c r="G20" s="317" t="s">
        <v>113</v>
      </c>
      <c r="H20" s="190" t="s">
        <v>36</v>
      </c>
      <c r="I20" s="1003" t="s">
        <v>737</v>
      </c>
      <c r="J20" s="1003"/>
      <c r="K20" s="1003"/>
      <c r="L20" s="190" t="s">
        <v>87</v>
      </c>
      <c r="M20" s="1141"/>
      <c r="N20" s="159"/>
      <c r="O20" s="159"/>
      <c r="P20" s="159"/>
      <c r="Q20" s="159"/>
      <c r="R20" s="188"/>
      <c r="S20" s="301"/>
      <c r="T20" s="301"/>
      <c r="U20" s="301"/>
      <c r="V20" s="298"/>
    </row>
    <row r="21" spans="1:22" s="156" customFormat="1" ht="15.75">
      <c r="A21" s="1193" t="s">
        <v>739</v>
      </c>
      <c r="B21" s="1193"/>
      <c r="C21" s="1193"/>
      <c r="D21" s="1193"/>
      <c r="E21" s="1193"/>
      <c r="F21" s="1193"/>
      <c r="G21" s="640">
        <f>10*49</f>
        <v>490</v>
      </c>
      <c r="H21" s="616">
        <v>12</v>
      </c>
      <c r="I21" s="1196">
        <v>0</v>
      </c>
      <c r="J21" s="1196"/>
      <c r="K21" s="1196"/>
      <c r="L21" s="503">
        <f>G21*H21*I21</f>
        <v>0</v>
      </c>
      <c r="M21" s="1141"/>
      <c r="N21" s="159"/>
      <c r="O21" s="159"/>
      <c r="P21" s="159"/>
      <c r="Q21" s="159"/>
      <c r="R21" s="188"/>
      <c r="S21" s="301"/>
      <c r="T21" s="301"/>
      <c r="U21" s="301"/>
      <c r="V21" s="298"/>
    </row>
    <row r="22" spans="1:22" s="156" customFormat="1" ht="15.75">
      <c r="A22" s="1193" t="s">
        <v>741</v>
      </c>
      <c r="B22" s="1193"/>
      <c r="C22" s="1193"/>
      <c r="D22" s="1193"/>
      <c r="E22" s="1193"/>
      <c r="F22" s="1193"/>
      <c r="G22" s="640">
        <f>6*49</f>
        <v>294</v>
      </c>
      <c r="H22" s="616">
        <v>12</v>
      </c>
      <c r="I22" s="1196">
        <v>0</v>
      </c>
      <c r="J22" s="1196"/>
      <c r="K22" s="1196"/>
      <c r="L22" s="503">
        <f>G22*H22*I22</f>
        <v>0</v>
      </c>
      <c r="M22" s="1141"/>
      <c r="N22" s="159"/>
      <c r="O22" s="159"/>
      <c r="P22" s="159"/>
      <c r="Q22" s="159"/>
      <c r="R22" s="188"/>
      <c r="S22" s="301"/>
      <c r="T22" s="301"/>
      <c r="U22" s="301"/>
      <c r="V22" s="298"/>
    </row>
    <row r="23" spans="1:22" s="155" customFormat="1" ht="15.75">
      <c r="A23" s="1193" t="s">
        <v>740</v>
      </c>
      <c r="B23" s="1193"/>
      <c r="C23" s="1193"/>
      <c r="D23" s="1193"/>
      <c r="E23" s="1193"/>
      <c r="F23" s="1193"/>
      <c r="G23" s="640">
        <f>4*49</f>
        <v>196</v>
      </c>
      <c r="H23" s="616">
        <v>12</v>
      </c>
      <c r="I23" s="1196">
        <v>0</v>
      </c>
      <c r="J23" s="1196"/>
      <c r="K23" s="1196"/>
      <c r="L23" s="503">
        <f>G23*H23*I23</f>
        <v>0</v>
      </c>
      <c r="M23" s="1141"/>
      <c r="N23" s="159"/>
      <c r="O23" s="304"/>
      <c r="P23" s="959"/>
      <c r="Q23" s="959"/>
      <c r="R23" s="959"/>
      <c r="S23" s="959"/>
      <c r="T23" s="304"/>
      <c r="U23" s="968"/>
      <c r="V23" s="968"/>
    </row>
    <row r="24" spans="1:22" s="155" customFormat="1" ht="25.5" customHeight="1">
      <c r="A24" s="1194" t="s">
        <v>293</v>
      </c>
      <c r="B24" s="1194"/>
      <c r="C24" s="1194"/>
      <c r="D24" s="1194"/>
      <c r="E24" s="1194"/>
      <c r="F24" s="1194"/>
      <c r="G24" s="1194"/>
      <c r="H24" s="1194"/>
      <c r="I24" s="1194"/>
      <c r="J24" s="1194"/>
      <c r="K24" s="1194"/>
      <c r="L24" s="1194"/>
      <c r="M24" s="1141"/>
      <c r="N24" s="304"/>
      <c r="O24" s="304"/>
      <c r="P24" s="959"/>
      <c r="Q24" s="959"/>
      <c r="R24" s="959"/>
      <c r="S24" s="959"/>
      <c r="T24" s="304"/>
      <c r="U24" s="968"/>
      <c r="V24" s="968"/>
    </row>
    <row r="25" spans="6:22" s="155" customFormat="1" ht="3" customHeight="1">
      <c r="F25" s="299"/>
      <c r="G25" s="299"/>
      <c r="H25" s="299"/>
      <c r="I25" s="299"/>
      <c r="J25" s="299"/>
      <c r="K25" s="299"/>
      <c r="L25" s="304"/>
      <c r="M25" s="1141"/>
      <c r="N25" s="301"/>
      <c r="O25" s="301"/>
      <c r="P25" s="307"/>
      <c r="Q25" s="307"/>
      <c r="R25" s="188"/>
      <c r="S25" s="174"/>
      <c r="T25" s="188"/>
      <c r="U25" s="188"/>
      <c r="V25" s="299"/>
    </row>
    <row r="26" spans="6:22" s="155" customFormat="1" ht="15.75">
      <c r="F26" s="392"/>
      <c r="G26" s="1069" t="s">
        <v>80</v>
      </c>
      <c r="H26" s="1069"/>
      <c r="I26" s="1069"/>
      <c r="J26" s="1069"/>
      <c r="K26" s="1164"/>
      <c r="L26" s="504">
        <f>SUM(L17,L21:L23)</f>
        <v>0</v>
      </c>
      <c r="M26" s="1141"/>
      <c r="N26" s="301"/>
      <c r="O26" s="301"/>
      <c r="P26" s="307"/>
      <c r="Q26" s="307"/>
      <c r="R26" s="188"/>
      <c r="S26" s="174"/>
      <c r="T26" s="188"/>
      <c r="U26" s="188"/>
      <c r="V26" s="299"/>
    </row>
    <row r="27" spans="6:22" s="155" customFormat="1" ht="15.75">
      <c r="F27" s="392"/>
      <c r="G27" s="1069" t="s">
        <v>114</v>
      </c>
      <c r="H27" s="1069"/>
      <c r="I27" s="1069"/>
      <c r="J27" s="1069"/>
      <c r="K27" s="1164"/>
      <c r="L27" s="504">
        <f>L26*0.18</f>
        <v>0</v>
      </c>
      <c r="M27" s="1141"/>
      <c r="N27" s="301"/>
      <c r="O27" s="301"/>
      <c r="P27" s="307"/>
      <c r="Q27" s="307"/>
      <c r="R27" s="188"/>
      <c r="S27" s="188"/>
      <c r="T27" s="188"/>
      <c r="U27" s="188"/>
      <c r="V27" s="299"/>
    </row>
    <row r="28" spans="6:22" s="155" customFormat="1" ht="15.75">
      <c r="F28" s="392"/>
      <c r="G28" s="1069" t="s">
        <v>82</v>
      </c>
      <c r="H28" s="1069"/>
      <c r="I28" s="1069"/>
      <c r="J28" s="1069"/>
      <c r="K28" s="1164"/>
      <c r="L28" s="504">
        <f>L26+L27</f>
        <v>0</v>
      </c>
      <c r="M28" s="1141"/>
      <c r="N28" s="304"/>
      <c r="O28" s="304"/>
      <c r="P28" s="959"/>
      <c r="Q28" s="959"/>
      <c r="R28" s="959"/>
      <c r="S28" s="959"/>
      <c r="T28" s="304"/>
      <c r="U28" s="968"/>
      <c r="V28" s="968"/>
    </row>
    <row r="29" spans="1:13" s="155" customFormat="1" ht="6.75" customHeight="1">
      <c r="A29" s="308"/>
      <c r="B29" s="308"/>
      <c r="C29" s="308"/>
      <c r="D29" s="308"/>
      <c r="E29" s="308"/>
      <c r="F29" s="305"/>
      <c r="G29" s="305"/>
      <c r="H29" s="305"/>
      <c r="I29" s="305"/>
      <c r="J29" s="305"/>
      <c r="K29" s="306"/>
      <c r="L29" s="309"/>
      <c r="M29" s="1141"/>
    </row>
    <row r="30" spans="1:20" s="626" customFormat="1" ht="40.5" customHeight="1">
      <c r="A30" s="1113" t="s">
        <v>104</v>
      </c>
      <c r="B30" s="1113"/>
      <c r="C30" s="1113"/>
      <c r="D30" s="1113"/>
      <c r="E30" s="1113"/>
      <c r="F30" s="1113"/>
      <c r="G30" s="1113"/>
      <c r="H30" s="1113"/>
      <c r="I30" s="1113"/>
      <c r="J30" s="1113"/>
      <c r="K30" s="1113"/>
      <c r="L30" s="1113"/>
      <c r="M30" s="1141"/>
      <c r="N30" s="625"/>
      <c r="O30" s="625"/>
      <c r="P30" s="625"/>
      <c r="Q30" s="625"/>
      <c r="R30" s="625"/>
      <c r="S30" s="625"/>
      <c r="T30" s="625"/>
    </row>
    <row r="31" spans="1:20" s="626" customFormat="1" ht="31.5" customHeight="1">
      <c r="A31" s="1113" t="s">
        <v>105</v>
      </c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41"/>
      <c r="N31" s="625"/>
      <c r="O31" s="625"/>
      <c r="P31" s="625"/>
      <c r="Q31" s="625"/>
      <c r="R31" s="625"/>
      <c r="S31" s="625"/>
      <c r="T31" s="625"/>
    </row>
    <row r="32" spans="1:26" s="7" customFormat="1" ht="13.5">
      <c r="A32" s="7" t="s">
        <v>1007</v>
      </c>
      <c r="L32" s="309"/>
      <c r="M32" s="1141"/>
      <c r="U32" s="1"/>
      <c r="V32" s="1"/>
      <c r="W32" s="1"/>
      <c r="X32" s="1"/>
      <c r="Y32" s="1"/>
      <c r="Z32" s="1"/>
    </row>
    <row r="33" spans="1:13" ht="12" customHeight="1">
      <c r="A33" s="984" t="s">
        <v>319</v>
      </c>
      <c r="B33" s="984"/>
      <c r="C33" s="984"/>
      <c r="D33" s="984"/>
      <c r="E33" s="984"/>
      <c r="F33" s="984"/>
      <c r="G33" s="47" t="s">
        <v>564</v>
      </c>
      <c r="H33" s="1014" t="str">
        <f>CONCATENATE('Заявка стр. 1'!B4)</f>
        <v>АО "Научно-производственный центр "Вигстар"</v>
      </c>
      <c r="I33" s="1014"/>
      <c r="J33" s="1014"/>
      <c r="K33" s="1014"/>
      <c r="L33" s="1014"/>
      <c r="M33" s="1141"/>
    </row>
    <row r="34" spans="1:13" ht="12.75" customHeight="1">
      <c r="A34" s="989" t="s">
        <v>1091</v>
      </c>
      <c r="B34" s="990"/>
      <c r="C34" s="990"/>
      <c r="D34" s="990"/>
      <c r="E34" s="990"/>
      <c r="F34" s="990"/>
      <c r="G34" s="47"/>
      <c r="H34" s="704" t="str">
        <f>CONCATENATE('Заявка стр. 1'!B17)</f>
        <v>Заместитель генерального директора по экономике и финансам</v>
      </c>
      <c r="I34" s="704"/>
      <c r="J34" s="704"/>
      <c r="K34" s="704"/>
      <c r="L34" s="704"/>
      <c r="M34" s="1141"/>
    </row>
    <row r="35" spans="1:13" ht="12.75" customHeight="1">
      <c r="A35" s="623" t="s">
        <v>729</v>
      </c>
      <c r="B35" s="48"/>
      <c r="C35" s="48"/>
      <c r="D35" s="48"/>
      <c r="E35" s="48"/>
      <c r="F35" s="48"/>
      <c r="G35" s="47"/>
      <c r="H35" s="584"/>
      <c r="I35" s="584"/>
      <c r="J35" s="584"/>
      <c r="K35" s="584"/>
      <c r="L35" s="584"/>
      <c r="M35" s="1141"/>
    </row>
    <row r="36" spans="1:13" ht="12.75" customHeight="1">
      <c r="A36" s="1114" t="s">
        <v>723</v>
      </c>
      <c r="B36" s="1114"/>
      <c r="C36" s="1114"/>
      <c r="D36" s="1114"/>
      <c r="E36" s="1114"/>
      <c r="F36" s="594"/>
      <c r="G36" s="44"/>
      <c r="H36" s="988" t="str">
        <f>CONCATENATE('Заявка стр. 1'!A19)</f>
        <v>Короткевич Олег Иосифович</v>
      </c>
      <c r="I36" s="988"/>
      <c r="J36" s="988"/>
      <c r="K36" s="988"/>
      <c r="L36" s="988"/>
      <c r="M36" s="1141"/>
    </row>
    <row r="37" spans="1:13" ht="15" customHeight="1">
      <c r="A37" s="1081" t="s">
        <v>562</v>
      </c>
      <c r="B37" s="1081"/>
      <c r="C37" s="1081"/>
      <c r="D37" s="1081"/>
      <c r="E37" s="1081"/>
      <c r="F37" s="1081"/>
      <c r="G37" s="44"/>
      <c r="H37" s="1082" t="s">
        <v>414</v>
      </c>
      <c r="I37" s="1082"/>
      <c r="J37" s="1082"/>
      <c r="K37" s="1082"/>
      <c r="L37" s="1082"/>
      <c r="M37" s="1141"/>
    </row>
    <row r="38" spans="1:13" ht="12.75">
      <c r="A38" s="982" t="s">
        <v>747</v>
      </c>
      <c r="B38" s="982"/>
      <c r="C38" s="982"/>
      <c r="D38" s="982"/>
      <c r="E38" s="982"/>
      <c r="F38" s="982"/>
      <c r="G38" s="5"/>
      <c r="H38" s="820" t="s">
        <v>747</v>
      </c>
      <c r="I38" s="820"/>
      <c r="J38" s="820"/>
      <c r="K38" s="820"/>
      <c r="L38" s="820"/>
      <c r="M38" s="1141"/>
    </row>
    <row r="39" spans="1:13" ht="12.75">
      <c r="A39" s="7"/>
      <c r="B39" s="7"/>
      <c r="C39" s="7"/>
      <c r="D39" s="7"/>
      <c r="E39" s="7"/>
      <c r="F39" s="40"/>
      <c r="G39" s="105"/>
      <c r="H39" s="7"/>
      <c r="I39" s="7"/>
      <c r="J39" s="7"/>
      <c r="K39" s="7"/>
      <c r="L39" s="7"/>
      <c r="M39" s="1141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141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141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141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141"/>
    </row>
    <row r="44" spans="1:1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="7" customFormat="1" ht="12.75">
      <c r="V49" s="1"/>
    </row>
    <row r="50" s="7" customFormat="1" ht="12.75">
      <c r="V50" s="1"/>
    </row>
    <row r="51" s="7" customFormat="1" ht="12.75">
      <c r="V51" s="1"/>
    </row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</sheetData>
  <sheetProtection password="CC03" sheet="1" selectLockedCells="1"/>
  <mergeCells count="60">
    <mergeCell ref="P28:Q28"/>
    <mergeCell ref="M1:M43"/>
    <mergeCell ref="P24:Q24"/>
    <mergeCell ref="K3:L3"/>
    <mergeCell ref="P23:Q23"/>
    <mergeCell ref="P18:Q18"/>
    <mergeCell ref="I22:K22"/>
    <mergeCell ref="I23:K23"/>
    <mergeCell ref="A18:L18"/>
    <mergeCell ref="A23:F23"/>
    <mergeCell ref="H38:L38"/>
    <mergeCell ref="H36:L36"/>
    <mergeCell ref="I17:K17"/>
    <mergeCell ref="G26:K26"/>
    <mergeCell ref="I21:K21"/>
    <mergeCell ref="A30:L30"/>
    <mergeCell ref="A31:L31"/>
    <mergeCell ref="G27:K27"/>
    <mergeCell ref="A38:F38"/>
    <mergeCell ref="H33:L33"/>
    <mergeCell ref="A14:B14"/>
    <mergeCell ref="A21:F21"/>
    <mergeCell ref="A36:E36"/>
    <mergeCell ref="A33:F33"/>
    <mergeCell ref="A22:F22"/>
    <mergeCell ref="A20:F20"/>
    <mergeCell ref="A24:L24"/>
    <mergeCell ref="A16:F16"/>
    <mergeCell ref="A17:F17"/>
    <mergeCell ref="A34:F34"/>
    <mergeCell ref="A1:F1"/>
    <mergeCell ref="H1:L2"/>
    <mergeCell ref="R28:S28"/>
    <mergeCell ref="U28:V28"/>
    <mergeCell ref="R18:S18"/>
    <mergeCell ref="U18:V18"/>
    <mergeCell ref="R23:S23"/>
    <mergeCell ref="U23:V23"/>
    <mergeCell ref="R24:S24"/>
    <mergeCell ref="U24:V24"/>
    <mergeCell ref="A2:B2"/>
    <mergeCell ref="C2:E2"/>
    <mergeCell ref="C3:E3"/>
    <mergeCell ref="A13:L13"/>
    <mergeCell ref="G1:G3"/>
    <mergeCell ref="G9:I9"/>
    <mergeCell ref="G11:I11"/>
    <mergeCell ref="H3:I3"/>
    <mergeCell ref="B9:C9"/>
    <mergeCell ref="B5:C5"/>
    <mergeCell ref="H37:L37"/>
    <mergeCell ref="H34:L34"/>
    <mergeCell ref="A37:F37"/>
    <mergeCell ref="A7:D7"/>
    <mergeCell ref="F5:I7"/>
    <mergeCell ref="I20:K20"/>
    <mergeCell ref="G28:K28"/>
    <mergeCell ref="B11:C11"/>
    <mergeCell ref="H14:L14"/>
    <mergeCell ref="I16:K16"/>
  </mergeCells>
  <conditionalFormatting sqref="L5 L7 L9 L11">
    <cfRule type="cellIs" priority="1" dxfId="65" operator="equal" stopIfTrue="1">
      <formula>0</formula>
    </cfRule>
  </conditionalFormatting>
  <hyperlinks>
    <hyperlink ref="B11" r:id="rId1" display="montage@b95.ru"/>
  </hyperlinks>
  <printOptions/>
  <pageMargins left="0.7874015748031497" right="0" top="0.3937007874015748" bottom="0.3937007874015748" header="0.5118110236220472" footer="0.5118110236220472"/>
  <pageSetup fitToHeight="1" fitToWidth="1" horizontalDpi="600" verticalDpi="600" orientation="portrait" paperSize="9" scale="97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Z55"/>
  <sheetViews>
    <sheetView showZeros="0" zoomScale="115" zoomScaleNormal="115" zoomScalePageLayoutView="0" workbookViewId="0" topLeftCell="A1">
      <selection activeCell="A38" sqref="A38:E38"/>
    </sheetView>
  </sheetViews>
  <sheetFormatPr defaultColWidth="9.00390625" defaultRowHeight="12.75"/>
  <cols>
    <col min="1" max="1" width="8.00390625" style="1" customWidth="1"/>
    <col min="2" max="2" width="10.00390625" style="1" customWidth="1"/>
    <col min="3" max="3" width="6.375" style="1" customWidth="1"/>
    <col min="4" max="4" width="6.00390625" style="1" customWidth="1"/>
    <col min="5" max="5" width="12.00390625" style="1" customWidth="1"/>
    <col min="6" max="6" width="11.125" style="1" customWidth="1"/>
    <col min="7" max="7" width="15.25390625" style="1" customWidth="1"/>
    <col min="8" max="11" width="2.75390625" style="1" customWidth="1"/>
    <col min="12" max="12" width="3.375" style="1" customWidth="1"/>
    <col min="13" max="13" width="12.25390625" style="1" customWidth="1"/>
    <col min="14" max="14" width="5.625" style="7" customWidth="1"/>
    <col min="15" max="22" width="9.125" style="7" customWidth="1"/>
    <col min="23" max="16384" width="9.125" style="1" customWidth="1"/>
  </cols>
  <sheetData>
    <row r="1" spans="1:14" ht="16.5" customHeight="1">
      <c r="A1" s="1012" t="s">
        <v>541</v>
      </c>
      <c r="B1" s="1012"/>
      <c r="C1" s="1012"/>
      <c r="D1" s="1012"/>
      <c r="E1" s="1012"/>
      <c r="F1" s="1092">
        <v>9</v>
      </c>
      <c r="G1" s="1009" t="s">
        <v>513</v>
      </c>
      <c r="H1" s="1009"/>
      <c r="I1" s="1009"/>
      <c r="J1" s="1009"/>
      <c r="K1" s="1009"/>
      <c r="L1" s="1009"/>
      <c r="M1" s="1009"/>
      <c r="N1" s="621"/>
    </row>
    <row r="2" spans="1:14" ht="27" customHeight="1">
      <c r="A2" s="1004" t="s">
        <v>696</v>
      </c>
      <c r="B2" s="1004"/>
      <c r="C2" s="1004" t="str">
        <f>'содержание '!C79</f>
        <v>ArmHiTec-2016</v>
      </c>
      <c r="D2" s="1004"/>
      <c r="E2" s="1004"/>
      <c r="F2" s="1092"/>
      <c r="G2" s="1009"/>
      <c r="H2" s="1009"/>
      <c r="I2" s="1009"/>
      <c r="J2" s="1009"/>
      <c r="K2" s="1009"/>
      <c r="L2" s="1009"/>
      <c r="M2" s="1009"/>
      <c r="N2" s="621"/>
    </row>
    <row r="3" spans="1:14" ht="15" customHeight="1">
      <c r="A3" s="417" t="s">
        <v>697</v>
      </c>
      <c r="B3" s="207" t="str">
        <f>CONCATENATE('содержание '!C104)</f>
        <v>/AHT</v>
      </c>
      <c r="C3" s="1052" t="s">
        <v>257</v>
      </c>
      <c r="D3" s="1052"/>
      <c r="E3" s="1052"/>
      <c r="F3" s="1093"/>
      <c r="G3" s="1204" t="s">
        <v>985</v>
      </c>
      <c r="H3" s="1204"/>
      <c r="I3" s="1204"/>
      <c r="J3" s="208"/>
      <c r="K3" s="208"/>
      <c r="L3" s="1037" t="str">
        <f>'содержание '!C95</f>
        <v>14 сентября 2016 г.</v>
      </c>
      <c r="M3" s="1037"/>
      <c r="N3" s="621"/>
    </row>
    <row r="4" spans="1:24" ht="2.25" customHeight="1">
      <c r="A4" s="31"/>
      <c r="B4" s="34"/>
      <c r="C4" s="152"/>
      <c r="D4" s="152"/>
      <c r="E4" s="152"/>
      <c r="F4" s="152"/>
      <c r="G4" s="177"/>
      <c r="H4" s="149"/>
      <c r="I4" s="149"/>
      <c r="J4" s="149"/>
      <c r="K4" s="149"/>
      <c r="L4" s="149"/>
      <c r="M4" s="149"/>
      <c r="N4" s="621"/>
      <c r="O4" s="52"/>
      <c r="Q4" s="22"/>
      <c r="R4" s="22"/>
      <c r="S4" s="22"/>
      <c r="W4" s="7"/>
      <c r="X4" s="7"/>
    </row>
    <row r="5" spans="1:24" ht="12" customHeight="1">
      <c r="A5" s="315" t="s">
        <v>121</v>
      </c>
      <c r="B5" s="721">
        <f>CONCATENATE('Заявка стр. 2'!B10)</f>
      </c>
      <c r="C5" s="721"/>
      <c r="D5" s="721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728"/>
      <c r="I5" s="187"/>
      <c r="J5" s="1054" t="s">
        <v>272</v>
      </c>
      <c r="K5" s="1055"/>
      <c r="L5" s="1197"/>
      <c r="M5" s="291">
        <f>'Заявка стр. 2'!L8</f>
        <v>0</v>
      </c>
      <c r="N5" s="621"/>
      <c r="P5" s="161"/>
      <c r="W5" s="7"/>
      <c r="X5" s="7"/>
    </row>
    <row r="6" spans="1:16" s="7" customFormat="1" ht="2.25" customHeight="1">
      <c r="A6" s="193"/>
      <c r="B6" s="194"/>
      <c r="C6" s="165"/>
      <c r="D6" s="165"/>
      <c r="E6" s="155"/>
      <c r="F6" s="728"/>
      <c r="G6" s="728"/>
      <c r="H6" s="728"/>
      <c r="I6" s="187"/>
      <c r="J6" s="187"/>
      <c r="K6" s="187"/>
      <c r="L6" s="324"/>
      <c r="M6" s="180"/>
      <c r="N6" s="621"/>
      <c r="P6" s="161"/>
    </row>
    <row r="7" spans="1:24" ht="12" customHeight="1">
      <c r="A7" s="1112" t="s">
        <v>186</v>
      </c>
      <c r="B7" s="1112"/>
      <c r="C7" s="1112"/>
      <c r="D7" s="1112"/>
      <c r="E7" s="174"/>
      <c r="F7" s="818"/>
      <c r="G7" s="818"/>
      <c r="H7" s="818"/>
      <c r="I7" s="187"/>
      <c r="J7" s="1055" t="s">
        <v>713</v>
      </c>
      <c r="K7" s="1055"/>
      <c r="L7" s="1197"/>
      <c r="M7" s="291">
        <f>'Заявка стр. 2'!L10</f>
        <v>0</v>
      </c>
      <c r="N7" s="621"/>
      <c r="P7" s="161"/>
      <c r="W7" s="7"/>
      <c r="X7" s="7"/>
    </row>
    <row r="8" spans="1:16" s="7" customFormat="1" ht="2.25" customHeight="1">
      <c r="A8" s="166"/>
      <c r="B8" s="164"/>
      <c r="C8" s="167"/>
      <c r="D8" s="167"/>
      <c r="E8" s="157"/>
      <c r="G8" s="159"/>
      <c r="H8" s="181"/>
      <c r="I8" s="181"/>
      <c r="J8" s="396"/>
      <c r="K8" s="396"/>
      <c r="L8" s="153"/>
      <c r="M8" s="180"/>
      <c r="N8" s="621"/>
      <c r="P8" s="161"/>
    </row>
    <row r="9" spans="1:24" ht="12" customHeight="1">
      <c r="A9" s="170" t="s">
        <v>982</v>
      </c>
      <c r="B9" s="724" t="str">
        <f>'Заявка стр. 2'!C12</f>
        <v> +7 (495) 937-40-81, доб.</v>
      </c>
      <c r="C9" s="724"/>
      <c r="D9" s="171">
        <f>'Заявка стр. 2'!E12</f>
        <v>0</v>
      </c>
      <c r="E9" s="155" t="s">
        <v>977</v>
      </c>
      <c r="F9" s="871" t="str">
        <f>CONCATENATE('Заявка стр. 1'!A25)</f>
        <v>Симонова Наталья Владимировна</v>
      </c>
      <c r="G9" s="871"/>
      <c r="H9" s="871"/>
      <c r="I9" s="70"/>
      <c r="J9" s="1055" t="s">
        <v>979</v>
      </c>
      <c r="K9" s="1055"/>
      <c r="L9" s="1197"/>
      <c r="M9" s="291">
        <f>'Заявка стр. 2'!L12</f>
        <v>0</v>
      </c>
      <c r="N9" s="621"/>
      <c r="P9" s="161"/>
      <c r="W9" s="7"/>
      <c r="X9" s="7"/>
    </row>
    <row r="10" spans="1:16" s="7" customFormat="1" ht="1.5" customHeight="1">
      <c r="A10" s="166"/>
      <c r="B10" s="164"/>
      <c r="C10" s="164"/>
      <c r="D10" s="164"/>
      <c r="E10" s="160"/>
      <c r="G10" s="174"/>
      <c r="H10" s="182"/>
      <c r="I10" s="182"/>
      <c r="J10" s="396"/>
      <c r="K10" s="396"/>
      <c r="L10" s="153"/>
      <c r="M10" s="180"/>
      <c r="N10" s="621"/>
      <c r="P10" s="161"/>
    </row>
    <row r="11" spans="1:16" s="7" customFormat="1" ht="14.25" customHeight="1">
      <c r="A11" s="168" t="s">
        <v>595</v>
      </c>
      <c r="B11" s="1140">
        <f>'Заявка стр. 2'!C14</f>
        <v>0</v>
      </c>
      <c r="C11" s="721"/>
      <c r="D11" s="721"/>
      <c r="E11" s="160" t="s">
        <v>978</v>
      </c>
      <c r="F11" s="1205" t="str">
        <f>CONCATENATE('Заявка стр. 1'!B27)</f>
        <v>(495) 276-52-71</v>
      </c>
      <c r="G11" s="1205"/>
      <c r="H11" s="1205"/>
      <c r="I11" s="182"/>
      <c r="J11" s="396"/>
      <c r="K11" s="396"/>
      <c r="L11" s="153"/>
      <c r="M11" s="180"/>
      <c r="N11" s="621"/>
      <c r="P11" s="161"/>
    </row>
    <row r="12" spans="1:24" ht="2.25" customHeight="1">
      <c r="A12" s="203"/>
      <c r="B12" s="204"/>
      <c r="C12" s="204"/>
      <c r="D12" s="204"/>
      <c r="E12" s="203"/>
      <c r="F12" s="205"/>
      <c r="G12" s="202"/>
      <c r="H12" s="202"/>
      <c r="I12" s="202"/>
      <c r="J12" s="202"/>
      <c r="K12" s="202"/>
      <c r="L12" s="202"/>
      <c r="M12" s="206"/>
      <c r="N12" s="621"/>
      <c r="O12" s="180"/>
      <c r="P12" s="161"/>
      <c r="Q12" s="22"/>
      <c r="R12" s="22"/>
      <c r="S12" s="70"/>
      <c r="W12" s="7"/>
      <c r="X12" s="7"/>
    </row>
    <row r="13" spans="1:14" s="7" customFormat="1" ht="39.75" customHeight="1">
      <c r="A13" s="1004" t="s">
        <v>1</v>
      </c>
      <c r="B13" s="1004"/>
      <c r="C13" s="1004"/>
      <c r="D13" s="1004"/>
      <c r="E13" s="1004"/>
      <c r="F13" s="1004"/>
      <c r="G13" s="1004"/>
      <c r="H13" s="1004"/>
      <c r="I13" s="1004"/>
      <c r="J13" s="1004"/>
      <c r="K13" s="1004"/>
      <c r="L13" s="1004"/>
      <c r="M13" s="1004"/>
      <c r="N13" s="621"/>
    </row>
    <row r="14" spans="1:14" s="7" customFormat="1" ht="12" customHeight="1">
      <c r="A14" s="1041" t="s">
        <v>571</v>
      </c>
      <c r="B14" s="1041"/>
      <c r="C14" s="1041"/>
      <c r="D14" s="36"/>
      <c r="E14" s="1117" t="s">
        <v>307</v>
      </c>
      <c r="F14" s="1041"/>
      <c r="G14" s="1041"/>
      <c r="H14" s="1041"/>
      <c r="I14" s="1041"/>
      <c r="J14" s="1041"/>
      <c r="K14" s="1041"/>
      <c r="L14" s="1041"/>
      <c r="M14" s="1041"/>
      <c r="N14" s="621"/>
    </row>
    <row r="15" spans="1:14" s="7" customFormat="1" ht="13.5" customHeight="1">
      <c r="A15" s="1004" t="s">
        <v>514</v>
      </c>
      <c r="B15" s="1004"/>
      <c r="C15" s="1004"/>
      <c r="D15" s="1004"/>
      <c r="E15" s="1004"/>
      <c r="F15" s="1004"/>
      <c r="G15" s="1004"/>
      <c r="H15" s="1004"/>
      <c r="I15" s="1004"/>
      <c r="J15" s="1004"/>
      <c r="K15" s="1004"/>
      <c r="L15" s="1004"/>
      <c r="M15" s="1004"/>
      <c r="N15" s="621"/>
    </row>
    <row r="16" spans="1:23" s="22" customFormat="1" ht="23.25" customHeight="1">
      <c r="A16" s="1198" t="s">
        <v>515</v>
      </c>
      <c r="B16" s="1199"/>
      <c r="C16" s="1199"/>
      <c r="D16" s="1199"/>
      <c r="E16" s="1200"/>
      <c r="F16" s="398" t="s">
        <v>115</v>
      </c>
      <c r="G16" s="1209" t="s">
        <v>1010</v>
      </c>
      <c r="H16" s="1210"/>
      <c r="I16" s="1211"/>
      <c r="J16" s="1201" t="s">
        <v>87</v>
      </c>
      <c r="K16" s="1202"/>
      <c r="L16" s="1202"/>
      <c r="M16" s="1203"/>
      <c r="N16" s="621"/>
      <c r="O16" s="41"/>
      <c r="P16" s="41"/>
      <c r="Q16" s="96"/>
      <c r="R16" s="96"/>
      <c r="S16" s="21"/>
      <c r="T16" s="21"/>
      <c r="U16" s="21"/>
      <c r="V16" s="21"/>
      <c r="W16" s="41"/>
    </row>
    <row r="17" spans="1:23" s="4" customFormat="1" ht="12" customHeight="1">
      <c r="A17" s="1130" t="s">
        <v>313</v>
      </c>
      <c r="B17" s="1130"/>
      <c r="C17" s="1130"/>
      <c r="D17" s="1130"/>
      <c r="E17" s="1130"/>
      <c r="F17" s="342">
        <f>286*49</f>
        <v>14014</v>
      </c>
      <c r="G17" s="1212">
        <v>0</v>
      </c>
      <c r="H17" s="1213"/>
      <c r="I17" s="1214"/>
      <c r="J17" s="1215">
        <f>F17*G17</f>
        <v>0</v>
      </c>
      <c r="K17" s="1216"/>
      <c r="L17" s="1216"/>
      <c r="M17" s="1217"/>
      <c r="N17" s="621"/>
      <c r="O17" s="41"/>
      <c r="P17" s="41"/>
      <c r="Q17" s="96"/>
      <c r="R17" s="96"/>
      <c r="S17" s="21"/>
      <c r="T17" s="21"/>
      <c r="U17" s="21"/>
      <c r="V17" s="21"/>
      <c r="W17" s="3"/>
    </row>
    <row r="18" spans="1:23" s="4" customFormat="1" ht="12" customHeight="1">
      <c r="A18" s="1130" t="s">
        <v>312</v>
      </c>
      <c r="B18" s="1130"/>
      <c r="C18" s="1130"/>
      <c r="D18" s="1130"/>
      <c r="E18" s="1130"/>
      <c r="F18" s="342">
        <f>150*49</f>
        <v>7350</v>
      </c>
      <c r="G18" s="1212">
        <v>0</v>
      </c>
      <c r="H18" s="1213"/>
      <c r="I18" s="1214"/>
      <c r="J18" s="1215">
        <f>F18*G18</f>
        <v>0</v>
      </c>
      <c r="K18" s="1216"/>
      <c r="L18" s="1216"/>
      <c r="M18" s="1217"/>
      <c r="N18" s="621"/>
      <c r="O18" s="41"/>
      <c r="P18" s="41"/>
      <c r="Q18" s="96"/>
      <c r="R18" s="96"/>
      <c r="S18" s="21"/>
      <c r="T18" s="21"/>
      <c r="U18" s="21"/>
      <c r="V18" s="21"/>
      <c r="W18" s="3"/>
    </row>
    <row r="19" spans="5:23" s="7" customFormat="1" ht="2.25" customHeight="1">
      <c r="E19" s="41"/>
      <c r="F19" s="41"/>
      <c r="G19" s="41"/>
      <c r="H19" s="41"/>
      <c r="I19" s="41"/>
      <c r="J19" s="41"/>
      <c r="K19" s="41"/>
      <c r="L19" s="41"/>
      <c r="M19" s="42"/>
      <c r="N19" s="621"/>
      <c r="O19" s="42"/>
      <c r="P19" s="42"/>
      <c r="Q19" s="95"/>
      <c r="R19" s="94"/>
      <c r="S19" s="1136"/>
      <c r="T19" s="1136"/>
      <c r="U19" s="42"/>
      <c r="V19" s="1135"/>
      <c r="W19" s="1135"/>
    </row>
    <row r="20" spans="1:23" s="4" customFormat="1" ht="12" customHeight="1">
      <c r="A20" s="1206" t="s">
        <v>516</v>
      </c>
      <c r="B20" s="1206"/>
      <c r="C20" s="1206"/>
      <c r="D20" s="1206"/>
      <c r="E20" s="1206"/>
      <c r="F20" s="1206"/>
      <c r="G20" s="1206"/>
      <c r="H20" s="1206"/>
      <c r="I20" s="1206"/>
      <c r="J20" s="1206"/>
      <c r="K20" s="1206"/>
      <c r="L20" s="1206"/>
      <c r="M20" s="1206"/>
      <c r="N20" s="621"/>
      <c r="O20" s="41"/>
      <c r="P20" s="41"/>
      <c r="Q20" s="96"/>
      <c r="R20" s="96"/>
      <c r="S20" s="21"/>
      <c r="T20" s="21"/>
      <c r="U20" s="21"/>
      <c r="V20" s="21"/>
      <c r="W20" s="3"/>
    </row>
    <row r="21" spans="1:14" s="7" customFormat="1" ht="10.5" customHeight="1">
      <c r="A21" s="1207"/>
      <c r="B21" s="1207"/>
      <c r="C21" s="1207"/>
      <c r="D21" s="1207"/>
      <c r="E21" s="1207"/>
      <c r="F21" s="1207"/>
      <c r="G21" s="1207"/>
      <c r="H21" s="1207"/>
      <c r="I21" s="1207"/>
      <c r="J21" s="1207"/>
      <c r="K21" s="1207"/>
      <c r="L21" s="1207"/>
      <c r="M21" s="1207"/>
      <c r="N21" s="621"/>
    </row>
    <row r="22" spans="1:14" s="7" customFormat="1" ht="10.5" customHeight="1">
      <c r="A22" s="1207"/>
      <c r="B22" s="1207"/>
      <c r="C22" s="1207"/>
      <c r="D22" s="1207"/>
      <c r="E22" s="1207"/>
      <c r="F22" s="1207"/>
      <c r="G22" s="1207"/>
      <c r="H22" s="1207"/>
      <c r="I22" s="1207"/>
      <c r="J22" s="1207"/>
      <c r="K22" s="1207"/>
      <c r="L22" s="1207"/>
      <c r="M22" s="1207"/>
      <c r="N22" s="621"/>
    </row>
    <row r="23" spans="1:14" s="7" customFormat="1" ht="10.5" customHeight="1">
      <c r="A23" s="1208"/>
      <c r="B23" s="1208"/>
      <c r="C23" s="1208"/>
      <c r="D23" s="1208"/>
      <c r="E23" s="1208"/>
      <c r="F23" s="1208"/>
      <c r="G23" s="1208"/>
      <c r="H23" s="1208"/>
      <c r="I23" s="1208"/>
      <c r="J23" s="1208"/>
      <c r="K23" s="1208"/>
      <c r="L23" s="1208"/>
      <c r="M23" s="1208"/>
      <c r="N23" s="621"/>
    </row>
    <row r="24" spans="1:14" s="7" customFormat="1" ht="10.5" customHeight="1">
      <c r="A24" s="1208"/>
      <c r="B24" s="1208"/>
      <c r="C24" s="1208"/>
      <c r="D24" s="1208"/>
      <c r="E24" s="1208"/>
      <c r="F24" s="1208"/>
      <c r="G24" s="1208"/>
      <c r="H24" s="1208"/>
      <c r="I24" s="1208"/>
      <c r="J24" s="1208"/>
      <c r="K24" s="1208"/>
      <c r="L24" s="1208"/>
      <c r="M24" s="1208"/>
      <c r="N24" s="621"/>
    </row>
    <row r="25" spans="5:23" s="7" customFormat="1" ht="2.25" customHeight="1">
      <c r="E25" s="41"/>
      <c r="F25" s="41"/>
      <c r="G25" s="41"/>
      <c r="H25" s="41"/>
      <c r="I25" s="41"/>
      <c r="J25" s="41"/>
      <c r="K25" s="41"/>
      <c r="L25" s="41"/>
      <c r="M25" s="42"/>
      <c r="N25" s="621"/>
      <c r="O25" s="42"/>
      <c r="P25" s="42"/>
      <c r="Q25" s="95"/>
      <c r="R25" s="94"/>
      <c r="S25" s="1136"/>
      <c r="T25" s="1136"/>
      <c r="U25" s="42"/>
      <c r="V25" s="1135"/>
      <c r="W25" s="1135"/>
    </row>
    <row r="26" spans="5:23" s="7" customFormat="1" ht="12.75" customHeight="1">
      <c r="E26" s="1069" t="s">
        <v>80</v>
      </c>
      <c r="F26" s="1069"/>
      <c r="G26" s="1069"/>
      <c r="H26" s="1069"/>
      <c r="I26" s="1069"/>
      <c r="J26" s="1069"/>
      <c r="K26" s="1069"/>
      <c r="L26" s="1129"/>
      <c r="M26" s="669">
        <f>SUM(J17:M18)</f>
        <v>0</v>
      </c>
      <c r="N26" s="621"/>
      <c r="O26" s="43"/>
      <c r="P26" s="43"/>
      <c r="Q26" s="97"/>
      <c r="R26" s="94"/>
      <c r="S26" s="21"/>
      <c r="T26" s="45"/>
      <c r="U26" s="21"/>
      <c r="V26" s="21"/>
      <c r="W26" s="41"/>
    </row>
    <row r="27" spans="5:23" s="7" customFormat="1" ht="12.75" customHeight="1">
      <c r="E27" s="1069" t="s">
        <v>103</v>
      </c>
      <c r="F27" s="1069"/>
      <c r="G27" s="1069"/>
      <c r="H27" s="1069"/>
      <c r="I27" s="1069"/>
      <c r="J27" s="1069"/>
      <c r="K27" s="1069"/>
      <c r="L27" s="1129"/>
      <c r="M27" s="669">
        <f>M26*0.18</f>
        <v>0</v>
      </c>
      <c r="N27" s="621"/>
      <c r="O27" s="43"/>
      <c r="P27" s="43"/>
      <c r="Q27" s="95"/>
      <c r="R27" s="94"/>
      <c r="S27" s="21"/>
      <c r="T27" s="45"/>
      <c r="U27" s="21"/>
      <c r="V27" s="21"/>
      <c r="W27" s="41"/>
    </row>
    <row r="28" spans="5:23" s="7" customFormat="1" ht="12.75" customHeight="1">
      <c r="E28" s="1069" t="s">
        <v>82</v>
      </c>
      <c r="F28" s="1069"/>
      <c r="G28" s="1069"/>
      <c r="H28" s="1069"/>
      <c r="I28" s="1069"/>
      <c r="J28" s="1069"/>
      <c r="K28" s="1069"/>
      <c r="L28" s="1129"/>
      <c r="M28" s="201">
        <f>M26+M27</f>
        <v>0</v>
      </c>
      <c r="N28" s="621"/>
      <c r="O28" s="43"/>
      <c r="P28" s="43"/>
      <c r="Q28" s="97"/>
      <c r="R28" s="94"/>
      <c r="S28" s="21"/>
      <c r="T28" s="21"/>
      <c r="U28" s="21"/>
      <c r="V28" s="21"/>
      <c r="W28" s="41"/>
    </row>
    <row r="29" spans="1:20" s="626" customFormat="1" ht="40.5" customHeight="1">
      <c r="A29" s="1113" t="s">
        <v>719</v>
      </c>
      <c r="B29" s="1113"/>
      <c r="C29" s="1113"/>
      <c r="D29" s="1113"/>
      <c r="E29" s="1113"/>
      <c r="F29" s="1113"/>
      <c r="G29" s="1113"/>
      <c r="H29" s="1113"/>
      <c r="I29" s="1113"/>
      <c r="J29" s="1113"/>
      <c r="K29" s="1113"/>
      <c r="L29" s="1113"/>
      <c r="M29" s="1113"/>
      <c r="N29" s="621"/>
      <c r="O29" s="625"/>
      <c r="P29" s="625"/>
      <c r="Q29" s="625"/>
      <c r="R29" s="625"/>
      <c r="S29" s="625"/>
      <c r="T29" s="625"/>
    </row>
    <row r="30" spans="1:20" s="626" customFormat="1" ht="30" customHeight="1">
      <c r="A30" s="1113" t="s">
        <v>718</v>
      </c>
      <c r="B30" s="1113"/>
      <c r="C30" s="1113"/>
      <c r="D30" s="1113"/>
      <c r="E30" s="1113"/>
      <c r="F30" s="1113"/>
      <c r="G30" s="1113"/>
      <c r="H30" s="1113"/>
      <c r="I30" s="1113"/>
      <c r="J30" s="1113"/>
      <c r="K30" s="1113"/>
      <c r="L30" s="1113"/>
      <c r="M30" s="1113"/>
      <c r="N30" s="621"/>
      <c r="O30" s="625"/>
      <c r="P30" s="625"/>
      <c r="Q30" s="625"/>
      <c r="R30" s="625"/>
      <c r="S30" s="625"/>
      <c r="T30" s="625"/>
    </row>
    <row r="31" spans="1:22" ht="11.25" customHeight="1">
      <c r="A31" s="620"/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19"/>
      <c r="M31" s="7"/>
      <c r="N31" s="621"/>
      <c r="U31" s="1"/>
      <c r="V31" s="1"/>
    </row>
    <row r="32" spans="1:14" ht="13.5">
      <c r="A32" s="7" t="s">
        <v>939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621"/>
    </row>
    <row r="33" spans="1:14" ht="14.25" customHeight="1">
      <c r="A33" s="984" t="s">
        <v>319</v>
      </c>
      <c r="B33" s="984"/>
      <c r="C33" s="984"/>
      <c r="D33" s="984"/>
      <c r="E33" s="984"/>
      <c r="F33" s="47" t="s">
        <v>564</v>
      </c>
      <c r="G33" s="1014" t="str">
        <f>CONCATENATE('Заявка стр. 1'!B4)</f>
        <v>АО "Научно-производственный центр "Вигстар"</v>
      </c>
      <c r="H33" s="1014"/>
      <c r="I33" s="1014"/>
      <c r="J33" s="1014"/>
      <c r="K33" s="1014"/>
      <c r="L33" s="1014"/>
      <c r="M33" s="1014"/>
      <c r="N33" s="621"/>
    </row>
    <row r="34" spans="1:14" ht="11.25" customHeight="1">
      <c r="A34" s="989" t="s">
        <v>1092</v>
      </c>
      <c r="B34" s="990"/>
      <c r="C34" s="990"/>
      <c r="D34" s="990"/>
      <c r="E34" s="990"/>
      <c r="F34" s="47"/>
      <c r="G34" s="704" t="str">
        <f>CONCATENATE('Заявка стр. 1'!B17)</f>
        <v>Заместитель генерального директора по экономике и финансам</v>
      </c>
      <c r="H34" s="704"/>
      <c r="I34" s="704"/>
      <c r="J34" s="704"/>
      <c r="K34" s="704"/>
      <c r="L34" s="704"/>
      <c r="M34" s="704"/>
      <c r="N34" s="621"/>
    </row>
    <row r="35" spans="1:14" ht="12.75">
      <c r="A35" s="582" t="s">
        <v>724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621"/>
    </row>
    <row r="36" spans="1:14" ht="14.25" customHeight="1">
      <c r="A36" s="991" t="s">
        <v>721</v>
      </c>
      <c r="B36" s="992"/>
      <c r="C36" s="992"/>
      <c r="D36" s="992"/>
      <c r="E36" s="992"/>
      <c r="F36" s="44"/>
      <c r="G36" s="988" t="str">
        <f>CONCATENATE('Заявка стр. 1'!A19)</f>
        <v>Короткевич Олег Иосифович</v>
      </c>
      <c r="H36" s="988"/>
      <c r="I36" s="988"/>
      <c r="J36" s="988"/>
      <c r="K36" s="988"/>
      <c r="L36" s="988"/>
      <c r="M36" s="988"/>
      <c r="N36" s="621"/>
    </row>
    <row r="37" spans="1:14" ht="14.25" customHeight="1">
      <c r="A37" s="1081" t="s">
        <v>562</v>
      </c>
      <c r="B37" s="1081"/>
      <c r="C37" s="1081"/>
      <c r="D37" s="1081"/>
      <c r="E37" s="1081"/>
      <c r="F37" s="44"/>
      <c r="G37" s="1082" t="s">
        <v>414</v>
      </c>
      <c r="H37" s="1082"/>
      <c r="I37" s="1082"/>
      <c r="J37" s="1082"/>
      <c r="K37" s="1082"/>
      <c r="L37" s="1082"/>
      <c r="M37" s="1082"/>
      <c r="N37" s="621"/>
    </row>
    <row r="38" spans="1:14" ht="16.5" customHeight="1">
      <c r="A38" s="982" t="s">
        <v>747</v>
      </c>
      <c r="B38" s="982"/>
      <c r="C38" s="982"/>
      <c r="D38" s="982"/>
      <c r="E38" s="982"/>
      <c r="F38" s="670"/>
      <c r="G38" s="820" t="s">
        <v>747</v>
      </c>
      <c r="H38" s="820"/>
      <c r="I38" s="820"/>
      <c r="J38" s="820"/>
      <c r="K38" s="820"/>
      <c r="L38" s="820"/>
      <c r="M38" s="820"/>
      <c r="N38" s="621"/>
    </row>
    <row r="39" spans="1:13" ht="12.75">
      <c r="A39" s="7"/>
      <c r="B39" s="7"/>
      <c r="C39" s="7"/>
      <c r="D39" s="7"/>
      <c r="E39" s="40"/>
      <c r="F39" s="40"/>
      <c r="G39" s="7"/>
      <c r="H39" s="7"/>
      <c r="I39" s="7"/>
      <c r="J39" s="7"/>
      <c r="K39" s="7"/>
      <c r="L39" s="7"/>
      <c r="M39" s="7"/>
    </row>
    <row r="40" spans="1:13" ht="12.75">
      <c r="A40" s="7"/>
      <c r="B40" s="7"/>
      <c r="C40" s="7"/>
      <c r="D40" s="7"/>
      <c r="E40" s="40"/>
      <c r="F40" s="105"/>
      <c r="G40" s="7"/>
      <c r="H40" s="7"/>
      <c r="I40" s="7"/>
      <c r="J40" s="7"/>
      <c r="K40" s="7"/>
      <c r="L40" s="7"/>
      <c r="M40" s="7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23:26" s="7" customFormat="1" ht="12.75">
      <c r="W47" s="1"/>
      <c r="X47" s="1"/>
      <c r="Y47" s="1"/>
      <c r="Z47" s="1"/>
    </row>
    <row r="48" spans="23:26" s="7" customFormat="1" ht="12.75">
      <c r="W48" s="1"/>
      <c r="X48" s="1"/>
      <c r="Y48" s="1"/>
      <c r="Z48" s="1"/>
    </row>
    <row r="49" spans="23:26" s="7" customFormat="1" ht="12.75">
      <c r="W49" s="1"/>
      <c r="X49" s="1"/>
      <c r="Y49" s="1"/>
      <c r="Z49" s="1"/>
    </row>
    <row r="50" spans="23:26" s="7" customFormat="1" ht="12.75">
      <c r="W50" s="1"/>
      <c r="X50" s="1"/>
      <c r="Y50" s="1"/>
      <c r="Z50" s="1"/>
    </row>
    <row r="51" spans="23:26" s="7" customFormat="1" ht="12.75">
      <c r="W51" s="1"/>
      <c r="X51" s="1"/>
      <c r="Y51" s="1"/>
      <c r="Z51" s="1"/>
    </row>
    <row r="52" spans="23:26" s="7" customFormat="1" ht="12.75">
      <c r="W52" s="1"/>
      <c r="X52" s="1"/>
      <c r="Y52" s="1"/>
      <c r="Z52" s="1"/>
    </row>
    <row r="53" spans="23:26" s="7" customFormat="1" ht="12.75">
      <c r="W53" s="1"/>
      <c r="X53" s="1"/>
      <c r="Y53" s="1"/>
      <c r="Z53" s="1"/>
    </row>
    <row r="54" spans="23:26" s="7" customFormat="1" ht="12.75">
      <c r="W54" s="1"/>
      <c r="X54" s="1"/>
      <c r="Y54" s="1"/>
      <c r="Z54" s="1"/>
    </row>
    <row r="55" spans="23:26" s="7" customFormat="1" ht="12.75">
      <c r="W55" s="1"/>
      <c r="X55" s="1"/>
      <c r="Y55" s="1"/>
      <c r="Z55" s="1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</sheetData>
  <sheetProtection password="CC03" sheet="1" formatCells="0" formatRows="0" selectLockedCells="1"/>
  <mergeCells count="55">
    <mergeCell ref="G16:I16"/>
    <mergeCell ref="V25:W25"/>
    <mergeCell ref="A18:E18"/>
    <mergeCell ref="G18:I18"/>
    <mergeCell ref="S19:T19"/>
    <mergeCell ref="V19:W19"/>
    <mergeCell ref="J18:M18"/>
    <mergeCell ref="G17:I17"/>
    <mergeCell ref="A17:E17"/>
    <mergeCell ref="J17:M17"/>
    <mergeCell ref="A29:M29"/>
    <mergeCell ref="S25:T25"/>
    <mergeCell ref="A20:M20"/>
    <mergeCell ref="A21:M21"/>
    <mergeCell ref="A22:M22"/>
    <mergeCell ref="A23:M23"/>
    <mergeCell ref="A24:M24"/>
    <mergeCell ref="F9:H9"/>
    <mergeCell ref="E14:M14"/>
    <mergeCell ref="A7:D7"/>
    <mergeCell ref="F11:H11"/>
    <mergeCell ref="F5:H7"/>
    <mergeCell ref="B5:D5"/>
    <mergeCell ref="B9:C9"/>
    <mergeCell ref="A13:M13"/>
    <mergeCell ref="J7:L7"/>
    <mergeCell ref="B11:D11"/>
    <mergeCell ref="G1:M2"/>
    <mergeCell ref="L3:M3"/>
    <mergeCell ref="F1:F3"/>
    <mergeCell ref="A1:E1"/>
    <mergeCell ref="A2:B2"/>
    <mergeCell ref="C2:E2"/>
    <mergeCell ref="C3:E3"/>
    <mergeCell ref="G3:I3"/>
    <mergeCell ref="J5:L5"/>
    <mergeCell ref="G33:M33"/>
    <mergeCell ref="A38:E38"/>
    <mergeCell ref="A33:E33"/>
    <mergeCell ref="A36:E36"/>
    <mergeCell ref="A14:C14"/>
    <mergeCell ref="J9:L9"/>
    <mergeCell ref="A15:M15"/>
    <mergeCell ref="A16:E16"/>
    <mergeCell ref="J16:M16"/>
    <mergeCell ref="G38:M38"/>
    <mergeCell ref="G36:M36"/>
    <mergeCell ref="E26:L26"/>
    <mergeCell ref="E27:L27"/>
    <mergeCell ref="E28:L28"/>
    <mergeCell ref="A30:M30"/>
    <mergeCell ref="G34:M34"/>
    <mergeCell ref="G37:M37"/>
    <mergeCell ref="A34:E34"/>
    <mergeCell ref="A37:E37"/>
  </mergeCells>
  <conditionalFormatting sqref="M5 M7 M9">
    <cfRule type="cellIs" priority="1" dxfId="65" operator="equal" stopIfTrue="1">
      <formula>0</formula>
    </cfRule>
  </conditionalFormatting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1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A76"/>
  <sheetViews>
    <sheetView zoomScalePageLayoutView="0" workbookViewId="0" topLeftCell="A1">
      <selection activeCell="H47" sqref="H47:J47"/>
    </sheetView>
  </sheetViews>
  <sheetFormatPr defaultColWidth="9.00390625" defaultRowHeight="12.75"/>
  <cols>
    <col min="1" max="1" width="9.00390625" style="1" customWidth="1"/>
    <col min="2" max="2" width="9.125" style="1" customWidth="1"/>
    <col min="3" max="3" width="7.625" style="1" customWidth="1"/>
    <col min="4" max="4" width="5.00390625" style="1" customWidth="1"/>
    <col min="5" max="5" width="13.375" style="1" customWidth="1"/>
    <col min="6" max="6" width="11.75390625" style="1" customWidth="1"/>
    <col min="7" max="7" width="10.375" style="1" customWidth="1"/>
    <col min="8" max="8" width="10.75390625" style="1" customWidth="1"/>
    <col min="9" max="9" width="0.6171875" style="1" customWidth="1"/>
    <col min="10" max="10" width="9.00390625" style="1" customWidth="1"/>
    <col min="11" max="11" width="13.875" style="1" customWidth="1"/>
    <col min="12" max="12" width="5.625" style="7" customWidth="1"/>
    <col min="13" max="20" width="9.125" style="7" customWidth="1"/>
    <col min="21" max="16384" width="9.125" style="1" customWidth="1"/>
  </cols>
  <sheetData>
    <row r="1" spans="1:14" ht="20.25" customHeight="1">
      <c r="A1" s="1012" t="s">
        <v>362</v>
      </c>
      <c r="B1" s="1012"/>
      <c r="C1" s="1012"/>
      <c r="D1" s="1012"/>
      <c r="E1" s="1012"/>
      <c r="F1" s="1092">
        <v>10</v>
      </c>
      <c r="G1" s="1009" t="s">
        <v>363</v>
      </c>
      <c r="H1" s="1009"/>
      <c r="I1" s="1009"/>
      <c r="J1" s="1009"/>
      <c r="K1" s="1009"/>
      <c r="L1" s="1141"/>
      <c r="M1" s="369"/>
      <c r="N1" s="369"/>
    </row>
    <row r="2" spans="1:14" ht="23.25" customHeight="1">
      <c r="A2" s="1004" t="s">
        <v>696</v>
      </c>
      <c r="B2" s="1004"/>
      <c r="C2" s="1004" t="str">
        <f>'содержание '!C79</f>
        <v>ArmHiTec-2016</v>
      </c>
      <c r="D2" s="1004"/>
      <c r="E2" s="1004"/>
      <c r="F2" s="1092"/>
      <c r="G2" s="1009"/>
      <c r="H2" s="1009"/>
      <c r="I2" s="1009"/>
      <c r="J2" s="1009"/>
      <c r="K2" s="1009"/>
      <c r="L2" s="1141"/>
      <c r="M2" s="369"/>
      <c r="N2" s="369"/>
    </row>
    <row r="3" spans="1:14" ht="14.25" customHeight="1">
      <c r="A3" s="417" t="s">
        <v>697</v>
      </c>
      <c r="B3" s="207" t="str">
        <f>CONCATENATE('содержание '!C104)</f>
        <v>/AHT</v>
      </c>
      <c r="C3" s="1052" t="s">
        <v>596</v>
      </c>
      <c r="D3" s="1052"/>
      <c r="E3" s="1052"/>
      <c r="F3" s="1093"/>
      <c r="G3" s="1094" t="s">
        <v>597</v>
      </c>
      <c r="H3" s="1094"/>
      <c r="I3" s="208"/>
      <c r="J3" s="1037" t="str">
        <f>'содержание '!C95</f>
        <v>14 сентября 2016 г.</v>
      </c>
      <c r="K3" s="1037"/>
      <c r="L3" s="1141"/>
      <c r="M3" s="369"/>
      <c r="N3" s="369"/>
    </row>
    <row r="4" spans="1:27" ht="3.75" customHeight="1">
      <c r="A4" s="31"/>
      <c r="B4" s="34"/>
      <c r="C4" s="152"/>
      <c r="D4" s="152"/>
      <c r="E4" s="152"/>
      <c r="F4" s="152"/>
      <c r="G4" s="152"/>
      <c r="H4" s="152"/>
      <c r="I4" s="152"/>
      <c r="J4" s="152"/>
      <c r="K4" s="177"/>
      <c r="L4" s="1141"/>
      <c r="M4" s="369"/>
      <c r="N4" s="369"/>
      <c r="O4" s="149"/>
      <c r="P4" s="149"/>
      <c r="Q4" s="52"/>
      <c r="R4" s="52"/>
      <c r="T4" s="22"/>
      <c r="U4" s="22"/>
      <c r="V4" s="22"/>
      <c r="W4" s="7"/>
      <c r="X4" s="7"/>
      <c r="Y4" s="7"/>
      <c r="Z4" s="7"/>
      <c r="AA4" s="7"/>
    </row>
    <row r="5" spans="1:27" ht="12" customHeight="1">
      <c r="A5" s="315" t="s">
        <v>121</v>
      </c>
      <c r="B5" s="721" t="s">
        <v>542</v>
      </c>
      <c r="C5" s="721"/>
      <c r="D5" s="168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728"/>
      <c r="I5" s="187"/>
      <c r="J5" s="153" t="s">
        <v>364</v>
      </c>
      <c r="K5" s="415"/>
      <c r="L5" s="1141"/>
      <c r="M5" s="369"/>
      <c r="N5" s="369"/>
      <c r="U5" s="7"/>
      <c r="V5" s="7"/>
      <c r="W5" s="7"/>
      <c r="X5" s="7"/>
      <c r="Y5" s="7"/>
      <c r="Z5" s="7"/>
      <c r="AA5" s="7"/>
    </row>
    <row r="6" spans="1:14" s="7" customFormat="1" ht="2.25" customHeight="1">
      <c r="A6" s="193"/>
      <c r="B6" s="194"/>
      <c r="C6" s="165"/>
      <c r="D6" s="165"/>
      <c r="E6" s="155"/>
      <c r="F6" s="728"/>
      <c r="G6" s="728"/>
      <c r="H6" s="728"/>
      <c r="I6" s="187"/>
      <c r="J6" s="161"/>
      <c r="K6" s="157"/>
      <c r="L6" s="1141"/>
      <c r="M6" s="369"/>
      <c r="N6" s="369"/>
    </row>
    <row r="7" spans="1:27" ht="12" customHeight="1">
      <c r="A7" s="721" t="s">
        <v>817</v>
      </c>
      <c r="B7" s="721"/>
      <c r="C7" s="721"/>
      <c r="D7" s="168"/>
      <c r="E7" s="174"/>
      <c r="F7" s="818"/>
      <c r="G7" s="818"/>
      <c r="H7" s="818"/>
      <c r="I7" s="187"/>
      <c r="J7" s="153" t="s">
        <v>994</v>
      </c>
      <c r="K7" s="469"/>
      <c r="L7" s="1141"/>
      <c r="M7" s="369"/>
      <c r="N7" s="369"/>
      <c r="U7" s="7"/>
      <c r="V7" s="7"/>
      <c r="W7" s="7"/>
      <c r="X7" s="7"/>
      <c r="Y7" s="7"/>
      <c r="Z7" s="7"/>
      <c r="AA7" s="7"/>
    </row>
    <row r="8" spans="1:14" s="7" customFormat="1" ht="2.25" customHeight="1">
      <c r="A8" s="166"/>
      <c r="B8" s="164"/>
      <c r="C8" s="167"/>
      <c r="D8" s="167"/>
      <c r="E8" s="157"/>
      <c r="G8" s="159"/>
      <c r="H8" s="181"/>
      <c r="I8" s="181"/>
      <c r="J8" s="154"/>
      <c r="K8" s="180"/>
      <c r="L8" s="1141"/>
      <c r="M8" s="369"/>
      <c r="N8" s="369"/>
    </row>
    <row r="9" spans="1:27" ht="12" customHeight="1">
      <c r="A9" s="170" t="s">
        <v>982</v>
      </c>
      <c r="B9" s="724" t="str">
        <f>'Заявка стр. 2'!C12</f>
        <v> +7 (495) 937-40-81, доб.</v>
      </c>
      <c r="C9" s="724"/>
      <c r="D9" s="171">
        <v>222</v>
      </c>
      <c r="E9" s="155" t="s">
        <v>977</v>
      </c>
      <c r="F9" s="871" t="str">
        <f>CONCATENATE('Заявка стр. 1'!A25)</f>
        <v>Симонова Наталья Владимировна</v>
      </c>
      <c r="G9" s="871"/>
      <c r="H9" s="871"/>
      <c r="I9" s="70"/>
      <c r="J9" s="153" t="s">
        <v>995</v>
      </c>
      <c r="K9" s="415"/>
      <c r="L9" s="1141"/>
      <c r="M9" s="369"/>
      <c r="N9" s="369"/>
      <c r="U9" s="7"/>
      <c r="V9" s="7"/>
      <c r="W9" s="7"/>
      <c r="X9" s="7"/>
      <c r="Y9" s="7"/>
      <c r="Z9" s="7"/>
      <c r="AA9" s="7"/>
    </row>
    <row r="10" spans="1:14" s="7" customFormat="1" ht="2.25" customHeight="1">
      <c r="A10" s="166"/>
      <c r="B10" s="164"/>
      <c r="C10" s="164"/>
      <c r="D10" s="164"/>
      <c r="E10" s="160"/>
      <c r="G10" s="174"/>
      <c r="H10" s="182"/>
      <c r="I10" s="182"/>
      <c r="J10" s="154"/>
      <c r="K10" s="180"/>
      <c r="L10" s="1141"/>
      <c r="M10" s="369"/>
      <c r="N10" s="369"/>
    </row>
    <row r="11" spans="1:27" ht="12" customHeight="1">
      <c r="A11" s="170" t="s">
        <v>595</v>
      </c>
      <c r="B11" s="1238" t="s">
        <v>654</v>
      </c>
      <c r="C11" s="1239"/>
      <c r="D11" s="172"/>
      <c r="E11" s="173" t="s">
        <v>978</v>
      </c>
      <c r="F11" s="871" t="str">
        <f>CONCATENATE('Заявка стр. 1'!B27)</f>
        <v>(495) 276-52-71</v>
      </c>
      <c r="G11" s="871"/>
      <c r="H11" s="871"/>
      <c r="I11" s="70"/>
      <c r="J11" s="153"/>
      <c r="K11" s="180"/>
      <c r="L11" s="1141"/>
      <c r="M11" s="369"/>
      <c r="N11" s="369"/>
      <c r="U11" s="7"/>
      <c r="V11" s="7"/>
      <c r="W11" s="7"/>
      <c r="X11" s="7"/>
      <c r="Y11" s="7"/>
      <c r="Z11" s="7"/>
      <c r="AA11" s="7"/>
    </row>
    <row r="12" spans="1:27" ht="2.25" customHeight="1">
      <c r="A12" s="203"/>
      <c r="B12" s="204"/>
      <c r="C12" s="204"/>
      <c r="D12" s="204"/>
      <c r="E12" s="204"/>
      <c r="F12" s="204"/>
      <c r="G12" s="204"/>
      <c r="H12" s="203"/>
      <c r="I12" s="203"/>
      <c r="J12" s="205"/>
      <c r="K12" s="202"/>
      <c r="L12" s="1141"/>
      <c r="M12" s="369"/>
      <c r="N12" s="369"/>
      <c r="O12" s="70"/>
      <c r="P12" s="182"/>
      <c r="Q12" s="153"/>
      <c r="R12" s="180"/>
      <c r="S12" s="161"/>
      <c r="T12" s="22"/>
      <c r="U12" s="22"/>
      <c r="V12" s="70"/>
      <c r="W12" s="7"/>
      <c r="X12" s="7"/>
      <c r="Y12" s="7"/>
      <c r="Z12" s="7"/>
      <c r="AA12" s="7"/>
    </row>
    <row r="13" spans="1:14" s="7" customFormat="1" ht="25.5" customHeight="1">
      <c r="A13" s="1041" t="s">
        <v>365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141"/>
      <c r="M13" s="369"/>
      <c r="N13" s="369"/>
    </row>
    <row r="14" spans="1:14" s="7" customFormat="1" ht="12" customHeight="1">
      <c r="A14" s="1041" t="s">
        <v>571</v>
      </c>
      <c r="B14" s="1041"/>
      <c r="C14" s="1041"/>
      <c r="D14" s="36"/>
      <c r="E14" s="1117" t="str">
        <f>'содержание '!C87</f>
        <v>с 13 по 15 октября 2016 г.</v>
      </c>
      <c r="F14" s="1156"/>
      <c r="G14" s="1156"/>
      <c r="H14" s="1156"/>
      <c r="I14" s="1156"/>
      <c r="J14" s="1156"/>
      <c r="K14" s="1156"/>
      <c r="L14" s="1141"/>
      <c r="M14" s="369"/>
      <c r="N14" s="369"/>
    </row>
    <row r="15" spans="1:14" s="7" customFormat="1" ht="12" customHeight="1">
      <c r="A15" s="1004" t="s">
        <v>1053</v>
      </c>
      <c r="B15" s="1004"/>
      <c r="C15" s="1004"/>
      <c r="D15" s="1004"/>
      <c r="E15" s="1004"/>
      <c r="F15" s="1004"/>
      <c r="G15" s="1004"/>
      <c r="H15" s="1004"/>
      <c r="I15" s="1004"/>
      <c r="J15" s="1004"/>
      <c r="K15" s="1004"/>
      <c r="L15" s="1141"/>
      <c r="M15" s="369"/>
      <c r="N15" s="369"/>
    </row>
    <row r="16" spans="1:14" s="7" customFormat="1" ht="24.75" customHeight="1">
      <c r="A16" s="1221" t="s">
        <v>819</v>
      </c>
      <c r="B16" s="1221"/>
      <c r="C16" s="1221"/>
      <c r="D16" s="1221"/>
      <c r="E16" s="1221"/>
      <c r="F16" s="1221"/>
      <c r="G16" s="1221"/>
      <c r="H16" s="1221"/>
      <c r="I16" s="1221"/>
      <c r="J16" s="1221"/>
      <c r="K16" s="1221"/>
      <c r="L16" s="1141"/>
      <c r="M16" s="369"/>
      <c r="N16" s="369"/>
    </row>
    <row r="17" spans="1:21" ht="15.75" customHeight="1">
      <c r="A17" s="1063" t="s">
        <v>366</v>
      </c>
      <c r="B17" s="1063"/>
      <c r="C17" s="1063"/>
      <c r="D17" s="1063"/>
      <c r="E17" s="1063"/>
      <c r="F17" s="847" t="s">
        <v>110</v>
      </c>
      <c r="G17" s="847"/>
      <c r="H17" s="847" t="s">
        <v>368</v>
      </c>
      <c r="I17" s="847"/>
      <c r="J17" s="847"/>
      <c r="K17" s="197" t="s">
        <v>108</v>
      </c>
      <c r="L17" s="1141"/>
      <c r="M17" s="369"/>
      <c r="N17" s="369"/>
      <c r="O17" s="41"/>
      <c r="P17" s="41"/>
      <c r="Q17" s="94"/>
      <c r="R17" s="41"/>
      <c r="S17" s="41"/>
      <c r="T17" s="41"/>
      <c r="U17" s="3"/>
    </row>
    <row r="18" spans="1:21" ht="15.75">
      <c r="A18" s="1218" t="s">
        <v>371</v>
      </c>
      <c r="B18" s="1218"/>
      <c r="C18" s="1218"/>
      <c r="D18" s="1218"/>
      <c r="E18" s="1218"/>
      <c r="F18" s="1219">
        <v>0</v>
      </c>
      <c r="G18" s="1219"/>
      <c r="H18" s="1220">
        <f>'Ф.2а'!I14</f>
        <v>0</v>
      </c>
      <c r="I18" s="1223"/>
      <c r="J18" s="1223"/>
      <c r="K18" s="503">
        <f>F18*H18</f>
        <v>0</v>
      </c>
      <c r="L18" s="1141"/>
      <c r="M18" s="1237" t="s">
        <v>372</v>
      </c>
      <c r="N18" s="1237"/>
      <c r="O18" s="1237"/>
      <c r="P18" s="41"/>
      <c r="Q18" s="96"/>
      <c r="R18" s="41"/>
      <c r="S18" s="41"/>
      <c r="T18" s="41"/>
      <c r="U18" s="3"/>
    </row>
    <row r="19" spans="1:21" ht="26.25" customHeight="1">
      <c r="A19" s="1218" t="s">
        <v>663</v>
      </c>
      <c r="B19" s="1218"/>
      <c r="C19" s="1218"/>
      <c r="D19" s="1218"/>
      <c r="E19" s="1218"/>
      <c r="F19" s="1222">
        <f>124*49</f>
        <v>6076</v>
      </c>
      <c r="G19" s="1222"/>
      <c r="H19" s="1224">
        <f>'Заявка стр. 2'!K41</f>
        <v>0</v>
      </c>
      <c r="I19" s="1225"/>
      <c r="J19" s="1225"/>
      <c r="K19" s="503">
        <f>F19*H19</f>
        <v>0</v>
      </c>
      <c r="L19" s="1141"/>
      <c r="M19" s="1236" t="s">
        <v>373</v>
      </c>
      <c r="N19" s="1236"/>
      <c r="O19" s="1236"/>
      <c r="P19" s="41"/>
      <c r="Q19" s="96"/>
      <c r="R19" s="41"/>
      <c r="S19" s="41"/>
      <c r="T19" s="41"/>
      <c r="U19" s="3"/>
    </row>
    <row r="20" spans="1:21" ht="15.75">
      <c r="A20" s="1218" t="s">
        <v>370</v>
      </c>
      <c r="B20" s="1218"/>
      <c r="C20" s="1218"/>
      <c r="D20" s="1218"/>
      <c r="E20" s="1218"/>
      <c r="F20" s="1219">
        <f>199*49</f>
        <v>9751</v>
      </c>
      <c r="G20" s="1219"/>
      <c r="H20" s="1220">
        <f>'Заявка стр. 2'!K42</f>
        <v>0</v>
      </c>
      <c r="I20" s="1220"/>
      <c r="J20" s="1220"/>
      <c r="K20" s="503">
        <f>F20*H20</f>
        <v>0</v>
      </c>
      <c r="L20" s="1141"/>
      <c r="M20" s="1236"/>
      <c r="N20" s="1236"/>
      <c r="O20" s="1236"/>
      <c r="P20" s="41"/>
      <c r="Q20" s="96"/>
      <c r="R20" s="41"/>
      <c r="S20" s="41"/>
      <c r="T20" s="41"/>
      <c r="U20" s="3"/>
    </row>
    <row r="21" spans="1:12" s="7" customFormat="1" ht="12" customHeight="1">
      <c r="A21" s="1004" t="s">
        <v>822</v>
      </c>
      <c r="B21" s="1004"/>
      <c r="C21" s="1004"/>
      <c r="D21" s="1004"/>
      <c r="E21" s="1004"/>
      <c r="F21" s="1004"/>
      <c r="G21" s="1004"/>
      <c r="H21" s="1004"/>
      <c r="I21" s="1004"/>
      <c r="J21" s="1004"/>
      <c r="K21" s="1004"/>
      <c r="L21" s="1141"/>
    </row>
    <row r="22" spans="1:18" ht="24" customHeight="1">
      <c r="A22" s="1233"/>
      <c r="B22" s="1233"/>
      <c r="C22" s="1233"/>
      <c r="D22" s="1233"/>
      <c r="E22" s="1233"/>
      <c r="F22" s="1233"/>
      <c r="G22" s="1233"/>
      <c r="H22" s="1233"/>
      <c r="I22" s="1233"/>
      <c r="J22" s="1233"/>
      <c r="K22" s="1233"/>
      <c r="L22" s="1141"/>
      <c r="M22" s="49"/>
      <c r="N22" s="49"/>
      <c r="O22" s="49"/>
      <c r="P22" s="49"/>
      <c r="Q22" s="49"/>
      <c r="R22" s="49"/>
    </row>
    <row r="23" spans="1:18" ht="12.75" customHeight="1">
      <c r="A23" s="1234" t="s">
        <v>656</v>
      </c>
      <c r="B23" s="1235"/>
      <c r="C23" s="1235"/>
      <c r="D23" s="1235"/>
      <c r="E23" s="1235"/>
      <c r="F23" s="1235"/>
      <c r="G23" s="1235"/>
      <c r="H23" s="1235"/>
      <c r="I23" s="1235"/>
      <c r="J23" s="49"/>
      <c r="K23" s="49"/>
      <c r="L23" s="1141"/>
      <c r="M23" s="49"/>
      <c r="N23" s="49"/>
      <c r="O23" s="49"/>
      <c r="P23" s="49"/>
      <c r="Q23" s="49"/>
      <c r="R23" s="49"/>
    </row>
    <row r="24" spans="1:12" s="7" customFormat="1" ht="15" customHeight="1">
      <c r="A24" s="1221" t="s">
        <v>821</v>
      </c>
      <c r="B24" s="1221"/>
      <c r="C24" s="1221"/>
      <c r="D24" s="1221"/>
      <c r="E24" s="1221"/>
      <c r="F24" s="1221"/>
      <c r="G24" s="1221"/>
      <c r="H24" s="1221"/>
      <c r="I24" s="1221"/>
      <c r="J24" s="1221"/>
      <c r="K24" s="1221"/>
      <c r="L24" s="1141"/>
    </row>
    <row r="25" spans="1:21" ht="15.75" customHeight="1">
      <c r="A25" s="1063" t="s">
        <v>820</v>
      </c>
      <c r="B25" s="1063"/>
      <c r="C25" s="1063"/>
      <c r="D25" s="1063"/>
      <c r="E25" s="1063"/>
      <c r="F25" s="847" t="s">
        <v>110</v>
      </c>
      <c r="G25" s="847"/>
      <c r="H25" s="847" t="s">
        <v>368</v>
      </c>
      <c r="I25" s="847"/>
      <c r="J25" s="847"/>
      <c r="K25" s="197" t="s">
        <v>108</v>
      </c>
      <c r="L25" s="1141"/>
      <c r="M25" s="346"/>
      <c r="N25" s="346"/>
      <c r="O25" s="346"/>
      <c r="P25" s="346"/>
      <c r="Q25" s="94"/>
      <c r="R25" s="41"/>
      <c r="S25" s="41"/>
      <c r="T25" s="41"/>
      <c r="U25" s="3"/>
    </row>
    <row r="26" spans="1:21" ht="13.5" customHeight="1">
      <c r="A26" s="1218" t="s">
        <v>371</v>
      </c>
      <c r="B26" s="1218"/>
      <c r="C26" s="1218"/>
      <c r="D26" s="1218"/>
      <c r="E26" s="1218"/>
      <c r="F26" s="1219">
        <f>245*49</f>
        <v>12005</v>
      </c>
      <c r="G26" s="1219"/>
      <c r="H26" s="1220">
        <f>'Заявка стр. 2'!K44</f>
        <v>0</v>
      </c>
      <c r="I26" s="1223"/>
      <c r="J26" s="1223"/>
      <c r="K26" s="503">
        <f>F26*H26</f>
        <v>0</v>
      </c>
      <c r="L26" s="1141"/>
      <c r="M26" s="346"/>
      <c r="N26" s="346"/>
      <c r="O26" s="346"/>
      <c r="P26" s="41"/>
      <c r="Q26" s="96"/>
      <c r="R26" s="41"/>
      <c r="S26" s="41"/>
      <c r="T26" s="41"/>
      <c r="U26" s="3"/>
    </row>
    <row r="27" spans="1:21" ht="13.5" customHeight="1">
      <c r="A27" s="1218" t="s">
        <v>370</v>
      </c>
      <c r="B27" s="1218"/>
      <c r="C27" s="1218"/>
      <c r="D27" s="1218"/>
      <c r="E27" s="1218"/>
      <c r="F27" s="1219">
        <f>350*49</f>
        <v>17150</v>
      </c>
      <c r="G27" s="1219"/>
      <c r="H27" s="1220">
        <f>'Заявка стр. 2'!K45</f>
        <v>0</v>
      </c>
      <c r="I27" s="1220"/>
      <c r="J27" s="1220"/>
      <c r="K27" s="503">
        <f>F27*H27</f>
        <v>0</v>
      </c>
      <c r="L27" s="1141"/>
      <c r="M27" s="346"/>
      <c r="N27" s="346"/>
      <c r="O27" s="346"/>
      <c r="P27" s="41"/>
      <c r="Q27" s="96"/>
      <c r="R27" s="41"/>
      <c r="S27" s="41"/>
      <c r="T27" s="41"/>
      <c r="U27" s="3"/>
    </row>
    <row r="28" spans="1:12" s="7" customFormat="1" ht="12" customHeight="1">
      <c r="A28" s="1004" t="s">
        <v>822</v>
      </c>
      <c r="B28" s="1004"/>
      <c r="C28" s="1004"/>
      <c r="D28" s="1004"/>
      <c r="E28" s="1004"/>
      <c r="F28" s="1004"/>
      <c r="G28" s="1004"/>
      <c r="H28" s="1004"/>
      <c r="I28" s="1004"/>
      <c r="J28" s="1004"/>
      <c r="K28" s="1004"/>
      <c r="L28" s="1141"/>
    </row>
    <row r="29" spans="1:18" ht="24" customHeight="1">
      <c r="A29" s="1233"/>
      <c r="B29" s="1233"/>
      <c r="C29" s="1233"/>
      <c r="D29" s="1233"/>
      <c r="E29" s="1233"/>
      <c r="F29" s="1233"/>
      <c r="G29" s="1233"/>
      <c r="H29" s="1233"/>
      <c r="I29" s="1233"/>
      <c r="J29" s="1233"/>
      <c r="K29" s="1233"/>
      <c r="L29" s="1141"/>
      <c r="M29" s="49"/>
      <c r="N29" s="49"/>
      <c r="O29" s="49"/>
      <c r="P29" s="49"/>
      <c r="Q29" s="49"/>
      <c r="R29" s="49"/>
    </row>
    <row r="30" spans="1:18" ht="12.75" customHeight="1">
      <c r="A30" s="1234" t="s">
        <v>656</v>
      </c>
      <c r="B30" s="1235"/>
      <c r="C30" s="1235"/>
      <c r="D30" s="1235"/>
      <c r="E30" s="1235"/>
      <c r="F30" s="1235"/>
      <c r="G30" s="1235"/>
      <c r="H30" s="1235"/>
      <c r="I30" s="1235"/>
      <c r="J30" s="49"/>
      <c r="K30" s="49"/>
      <c r="L30" s="1141"/>
      <c r="M30" s="49"/>
      <c r="N30" s="49"/>
      <c r="O30" s="49"/>
      <c r="P30" s="49"/>
      <c r="Q30" s="49"/>
      <c r="R30" s="49"/>
    </row>
    <row r="31" spans="1:18" ht="19.5" customHeight="1">
      <c r="A31" s="1226" t="s">
        <v>1040</v>
      </c>
      <c r="B31" s="1226"/>
      <c r="C31" s="1226"/>
      <c r="D31" s="1226"/>
      <c r="E31" s="1226"/>
      <c r="F31" s="1226"/>
      <c r="G31" s="1226"/>
      <c r="H31" s="1226"/>
      <c r="I31" s="1226"/>
      <c r="J31" s="1226"/>
      <c r="K31" s="1226"/>
      <c r="L31" s="1141"/>
      <c r="M31" s="49"/>
      <c r="N31" s="49"/>
      <c r="O31" s="49"/>
      <c r="P31" s="49"/>
      <c r="Q31" s="49"/>
      <c r="R31" s="49"/>
    </row>
    <row r="32" spans="1:18" ht="26.25" customHeight="1">
      <c r="A32" s="1221" t="s">
        <v>554</v>
      </c>
      <c r="B32" s="1221"/>
      <c r="C32" s="1221"/>
      <c r="D32" s="1221"/>
      <c r="E32" s="1221"/>
      <c r="F32" s="1221"/>
      <c r="G32" s="1221"/>
      <c r="H32" s="1221"/>
      <c r="I32" s="1221"/>
      <c r="J32" s="1221"/>
      <c r="K32" s="1221"/>
      <c r="L32" s="1141"/>
      <c r="M32" s="49"/>
      <c r="N32" s="49"/>
      <c r="O32" s="49"/>
      <c r="P32" s="49"/>
      <c r="Q32" s="49"/>
      <c r="R32" s="49"/>
    </row>
    <row r="33" spans="1:18" ht="12.75" customHeight="1">
      <c r="A33" s="1063" t="s">
        <v>366</v>
      </c>
      <c r="B33" s="1063"/>
      <c r="C33" s="1063"/>
      <c r="D33" s="1063"/>
      <c r="E33" s="1063"/>
      <c r="F33" s="847" t="s">
        <v>110</v>
      </c>
      <c r="G33" s="847"/>
      <c r="H33" s="847" t="s">
        <v>553</v>
      </c>
      <c r="I33" s="847"/>
      <c r="J33" s="847"/>
      <c r="K33" s="197" t="s">
        <v>108</v>
      </c>
      <c r="L33" s="1141"/>
      <c r="M33" s="49"/>
      <c r="N33" s="49"/>
      <c r="O33" s="49"/>
      <c r="P33" s="49"/>
      <c r="Q33" s="49"/>
      <c r="R33" s="49"/>
    </row>
    <row r="34" spans="1:18" ht="16.5" customHeight="1">
      <c r="A34" s="1218" t="s">
        <v>457</v>
      </c>
      <c r="B34" s="1218"/>
      <c r="C34" s="1218"/>
      <c r="D34" s="1218"/>
      <c r="E34" s="1218"/>
      <c r="F34" s="1219">
        <v>0</v>
      </c>
      <c r="G34" s="1219"/>
      <c r="H34" s="1220">
        <f>'Заявка стр. 2'!K48</f>
        <v>0</v>
      </c>
      <c r="I34" s="1223">
        <v>0</v>
      </c>
      <c r="J34" s="1223">
        <v>0</v>
      </c>
      <c r="K34" s="503">
        <f>F34*H34</f>
        <v>0</v>
      </c>
      <c r="L34" s="1141"/>
      <c r="M34" s="49"/>
      <c r="N34" s="49"/>
      <c r="O34" s="49"/>
      <c r="P34" s="49"/>
      <c r="Q34" s="49"/>
      <c r="R34" s="49"/>
    </row>
    <row r="35" spans="1:18" ht="24" customHeight="1">
      <c r="A35" s="1218" t="s">
        <v>552</v>
      </c>
      <c r="B35" s="1218"/>
      <c r="C35" s="1218"/>
      <c r="D35" s="1218"/>
      <c r="E35" s="1218"/>
      <c r="F35" s="1222">
        <v>2543</v>
      </c>
      <c r="G35" s="1222"/>
      <c r="H35" s="1224">
        <f>'Заявка стр. 2'!K49</f>
        <v>0</v>
      </c>
      <c r="I35" s="1225">
        <v>0</v>
      </c>
      <c r="J35" s="1225">
        <v>0</v>
      </c>
      <c r="K35" s="503">
        <f>F35*H35</f>
        <v>0</v>
      </c>
      <c r="L35" s="1141"/>
      <c r="M35" s="49"/>
      <c r="N35" s="49"/>
      <c r="O35" s="49"/>
      <c r="P35" s="49"/>
      <c r="Q35" s="49"/>
      <c r="R35" s="49"/>
    </row>
    <row r="36" spans="1:18" ht="26.25" customHeight="1">
      <c r="A36" s="1218" t="s">
        <v>551</v>
      </c>
      <c r="B36" s="1218"/>
      <c r="C36" s="1218"/>
      <c r="D36" s="1218"/>
      <c r="E36" s="1218"/>
      <c r="F36" s="1219">
        <v>4238</v>
      </c>
      <c r="G36" s="1219"/>
      <c r="H36" s="1220">
        <f>'Заявка стр. 2'!K50</f>
        <v>0</v>
      </c>
      <c r="I36" s="1220"/>
      <c r="J36" s="1220"/>
      <c r="K36" s="503">
        <f>F36*H36</f>
        <v>0</v>
      </c>
      <c r="L36" s="1141"/>
      <c r="M36" s="49"/>
      <c r="N36" s="49"/>
      <c r="O36" s="49"/>
      <c r="P36" s="49"/>
      <c r="Q36" s="49"/>
      <c r="R36" s="49"/>
    </row>
    <row r="37" spans="1:18" ht="18.75" customHeight="1">
      <c r="A37" s="1221" t="s">
        <v>1041</v>
      </c>
      <c r="B37" s="1221"/>
      <c r="C37" s="1221"/>
      <c r="D37" s="1221"/>
      <c r="E37" s="1221"/>
      <c r="F37" s="1221"/>
      <c r="G37" s="1221"/>
      <c r="H37" s="1221"/>
      <c r="I37" s="1221"/>
      <c r="J37" s="1221"/>
      <c r="K37" s="1221"/>
      <c r="L37" s="1141"/>
      <c r="M37" s="49"/>
      <c r="N37" s="49"/>
      <c r="O37" s="49"/>
      <c r="P37" s="49"/>
      <c r="Q37" s="49"/>
      <c r="R37" s="49"/>
    </row>
    <row r="38" spans="1:18" ht="13.5" customHeight="1">
      <c r="A38" s="1063" t="s">
        <v>1038</v>
      </c>
      <c r="B38" s="1063"/>
      <c r="C38" s="1063"/>
      <c r="D38" s="1063"/>
      <c r="E38" s="1063"/>
      <c r="F38" s="847" t="s">
        <v>110</v>
      </c>
      <c r="G38" s="847"/>
      <c r="H38" s="847" t="s">
        <v>553</v>
      </c>
      <c r="I38" s="847"/>
      <c r="J38" s="847"/>
      <c r="K38" s="197" t="s">
        <v>108</v>
      </c>
      <c r="L38" s="1141"/>
      <c r="M38" s="49"/>
      <c r="N38" s="49"/>
      <c r="O38" s="49"/>
      <c r="P38" s="49"/>
      <c r="Q38" s="49"/>
      <c r="R38" s="49"/>
    </row>
    <row r="39" spans="1:18" ht="19.5" customHeight="1">
      <c r="A39" s="1218" t="s">
        <v>457</v>
      </c>
      <c r="B39" s="1218"/>
      <c r="C39" s="1218"/>
      <c r="D39" s="1218"/>
      <c r="E39" s="1218"/>
      <c r="F39" s="1222">
        <v>2543</v>
      </c>
      <c r="G39" s="1222"/>
      <c r="H39" s="1220">
        <f>'Заявка стр. 2'!K52</f>
        <v>0</v>
      </c>
      <c r="I39" s="1223"/>
      <c r="J39" s="1223"/>
      <c r="K39" s="503">
        <f>F39*H39</f>
        <v>0</v>
      </c>
      <c r="L39" s="1141"/>
      <c r="M39" s="49"/>
      <c r="N39" s="49"/>
      <c r="O39" s="49"/>
      <c r="P39" s="49"/>
      <c r="Q39" s="49"/>
      <c r="R39" s="49"/>
    </row>
    <row r="40" spans="1:18" ht="21.75" customHeight="1">
      <c r="A40" s="1218" t="s">
        <v>552</v>
      </c>
      <c r="B40" s="1218"/>
      <c r="C40" s="1218"/>
      <c r="D40" s="1218"/>
      <c r="E40" s="1218"/>
      <c r="F40" s="1219">
        <v>4238</v>
      </c>
      <c r="G40" s="1219"/>
      <c r="H40" s="1224">
        <f>'Заявка стр. 2'!K53</f>
        <v>0</v>
      </c>
      <c r="I40" s="1225"/>
      <c r="J40" s="1225"/>
      <c r="K40" s="503">
        <f>F40*H40</f>
        <v>0</v>
      </c>
      <c r="L40" s="1141"/>
      <c r="M40" s="49"/>
      <c r="N40" s="49"/>
      <c r="O40" s="49"/>
      <c r="P40" s="49"/>
      <c r="Q40" s="49"/>
      <c r="R40" s="49"/>
    </row>
    <row r="41" spans="1:21" s="22" customFormat="1" ht="27" customHeight="1">
      <c r="A41" s="1218" t="s">
        <v>551</v>
      </c>
      <c r="B41" s="1218"/>
      <c r="C41" s="1218"/>
      <c r="D41" s="1218"/>
      <c r="E41" s="1218"/>
      <c r="F41" s="1219">
        <v>5933</v>
      </c>
      <c r="G41" s="1219"/>
      <c r="H41" s="1220">
        <f>'Заявка стр. 2'!K54</f>
        <v>0</v>
      </c>
      <c r="I41" s="1220"/>
      <c r="J41" s="1220"/>
      <c r="K41" s="503">
        <f>F41*H41</f>
        <v>0</v>
      </c>
      <c r="L41" s="1141"/>
      <c r="M41" s="41"/>
      <c r="N41" s="41"/>
      <c r="O41" s="112"/>
      <c r="P41" s="96"/>
      <c r="Q41" s="21"/>
      <c r="R41" s="21"/>
      <c r="S41" s="21"/>
      <c r="T41" s="21"/>
      <c r="U41" s="41"/>
    </row>
    <row r="42" spans="1:21" ht="13.5" customHeight="1" hidden="1">
      <c r="A42" s="1230" t="s">
        <v>662</v>
      </c>
      <c r="B42" s="1230"/>
      <c r="C42" s="1230"/>
      <c r="D42" s="1230"/>
      <c r="E42" s="1230"/>
      <c r="F42" s="1231" t="s">
        <v>379</v>
      </c>
      <c r="G42" s="1231"/>
      <c r="H42" s="1232"/>
      <c r="I42" s="1232"/>
      <c r="J42" s="1232"/>
      <c r="K42" s="470" t="s">
        <v>116</v>
      </c>
      <c r="L42" s="1141"/>
      <c r="M42" s="41"/>
      <c r="N42" s="41"/>
      <c r="O42" s="41"/>
      <c r="P42" s="41"/>
      <c r="Q42" s="94"/>
      <c r="R42" s="41"/>
      <c r="S42" s="41"/>
      <c r="T42" s="41"/>
      <c r="U42" s="3"/>
    </row>
    <row r="43" spans="1:21" ht="17.25" customHeight="1" hidden="1">
      <c r="A43" s="1227" t="s">
        <v>380</v>
      </c>
      <c r="B43" s="1227"/>
      <c r="C43" s="1227"/>
      <c r="D43" s="1227"/>
      <c r="E43" s="1227"/>
      <c r="F43" s="1228">
        <v>0</v>
      </c>
      <c r="G43" s="1228"/>
      <c r="H43" s="1229">
        <f>1-F43</f>
        <v>1</v>
      </c>
      <c r="I43" s="1229"/>
      <c r="J43" s="1229"/>
      <c r="K43" s="503">
        <f>K19*F43+K20*F43+K26*F43+K27*F43</f>
        <v>0</v>
      </c>
      <c r="L43" s="1141"/>
      <c r="M43" s="41"/>
      <c r="N43" s="96"/>
      <c r="O43" s="97"/>
      <c r="P43" s="96"/>
      <c r="Q43" s="96"/>
      <c r="R43" s="41"/>
      <c r="S43" s="41"/>
      <c r="T43" s="41"/>
      <c r="U43" s="3"/>
    </row>
    <row r="44" spans="1:21" ht="24" customHeight="1" hidden="1">
      <c r="A44" s="1227" t="s">
        <v>381</v>
      </c>
      <c r="B44" s="1227"/>
      <c r="C44" s="1227"/>
      <c r="D44" s="1227"/>
      <c r="E44" s="1227"/>
      <c r="F44" s="1228">
        <v>0</v>
      </c>
      <c r="G44" s="1228"/>
      <c r="H44" s="1229">
        <f>1-F44</f>
        <v>1</v>
      </c>
      <c r="I44" s="1229"/>
      <c r="J44" s="1229"/>
      <c r="K44" s="503">
        <f>IF(SUM(H18:J20,H26:J27)&gt;1,K18*F44+K19*F44+K20*F44+K26*F44+K27*F44,0)</f>
        <v>0</v>
      </c>
      <c r="L44" s="1141"/>
      <c r="M44" s="41"/>
      <c r="N44" s="96"/>
      <c r="O44" s="97"/>
      <c r="P44" s="96"/>
      <c r="Q44" s="96"/>
      <c r="R44" s="41"/>
      <c r="S44" s="41"/>
      <c r="T44" s="41"/>
      <c r="U44" s="3"/>
    </row>
    <row r="45" spans="1:21" ht="15.75" customHeight="1">
      <c r="A45" s="1063" t="s">
        <v>853</v>
      </c>
      <c r="B45" s="1063"/>
      <c r="C45" s="1063"/>
      <c r="D45" s="1063"/>
      <c r="E45" s="1063"/>
      <c r="F45" s="847" t="s">
        <v>110</v>
      </c>
      <c r="G45" s="847"/>
      <c r="H45" s="847" t="s">
        <v>553</v>
      </c>
      <c r="I45" s="847"/>
      <c r="J45" s="847"/>
      <c r="K45" s="197" t="s">
        <v>108</v>
      </c>
      <c r="L45" s="1141"/>
      <c r="M45" s="346"/>
      <c r="N45" s="346"/>
      <c r="O45" s="346"/>
      <c r="P45" s="346"/>
      <c r="Q45" s="94"/>
      <c r="R45" s="41"/>
      <c r="S45" s="41"/>
      <c r="T45" s="41"/>
      <c r="U45" s="3"/>
    </row>
    <row r="46" spans="1:18" ht="24" customHeight="1">
      <c r="A46" s="1250"/>
      <c r="B46" s="1251"/>
      <c r="C46" s="1251"/>
      <c r="D46" s="1251"/>
      <c r="E46" s="1251"/>
      <c r="F46" s="1251"/>
      <c r="G46" s="1251"/>
      <c r="H46" s="1251"/>
      <c r="I46" s="1251"/>
      <c r="J46" s="1251"/>
      <c r="K46" s="1251"/>
      <c r="L46" s="1141"/>
      <c r="M46" s="346"/>
      <c r="N46" s="346"/>
      <c r="O46" s="346"/>
      <c r="P46" s="346"/>
      <c r="Q46" s="49"/>
      <c r="R46" s="49"/>
    </row>
    <row r="47" spans="1:21" ht="52.5" customHeight="1">
      <c r="A47" s="1218" t="s">
        <v>864</v>
      </c>
      <c r="B47" s="1218"/>
      <c r="C47" s="1218"/>
      <c r="D47" s="1218"/>
      <c r="E47" s="1218"/>
      <c r="F47" s="1248">
        <f>117*49</f>
        <v>5733</v>
      </c>
      <c r="G47" s="1248"/>
      <c r="H47" s="1252">
        <v>0</v>
      </c>
      <c r="I47" s="1242"/>
      <c r="J47" s="1242"/>
      <c r="K47" s="503">
        <f>F47*H47</f>
        <v>0</v>
      </c>
      <c r="L47" s="1141"/>
      <c r="M47" s="346"/>
      <c r="N47" s="346"/>
      <c r="O47" s="346"/>
      <c r="P47" s="41"/>
      <c r="Q47" s="96"/>
      <c r="R47" s="41"/>
      <c r="S47" s="41"/>
      <c r="T47" s="41"/>
      <c r="U47" s="3"/>
    </row>
    <row r="48" spans="5:21" s="22" customFormat="1" ht="12.75" customHeight="1">
      <c r="E48" s="99"/>
      <c r="F48" s="46"/>
      <c r="G48" s="46"/>
      <c r="H48" s="101"/>
      <c r="I48" s="101"/>
      <c r="J48" s="101"/>
      <c r="K48" s="100"/>
      <c r="L48" s="1141"/>
      <c r="M48" s="41"/>
      <c r="N48" s="41"/>
      <c r="O48" s="112"/>
      <c r="P48" s="96"/>
      <c r="Q48" s="21"/>
      <c r="R48" s="21"/>
      <c r="S48" s="21"/>
      <c r="T48" s="21"/>
      <c r="U48" s="41"/>
    </row>
    <row r="49" spans="1:21" ht="24" customHeight="1">
      <c r="A49" s="1063" t="s">
        <v>863</v>
      </c>
      <c r="B49" s="1063"/>
      <c r="C49" s="1063"/>
      <c r="D49" s="1063"/>
      <c r="E49" s="1063"/>
      <c r="F49" s="847" t="s">
        <v>110</v>
      </c>
      <c r="G49" s="847"/>
      <c r="H49" s="847" t="s">
        <v>710</v>
      </c>
      <c r="I49" s="847"/>
      <c r="J49" s="847"/>
      <c r="K49" s="197" t="s">
        <v>108</v>
      </c>
      <c r="L49" s="1141"/>
      <c r="P49" s="41"/>
      <c r="Q49" s="94"/>
      <c r="R49" s="41"/>
      <c r="S49" s="41"/>
      <c r="T49" s="41"/>
      <c r="U49" s="3"/>
    </row>
    <row r="50" spans="1:21" ht="18.75" customHeight="1">
      <c r="A50" s="1243" t="s">
        <v>686</v>
      </c>
      <c r="B50" s="1243"/>
      <c r="C50" s="1243"/>
      <c r="D50" s="1243"/>
      <c r="E50" s="1243"/>
      <c r="F50" s="1240">
        <f>221*49</f>
        <v>10829</v>
      </c>
      <c r="G50" s="1240"/>
      <c r="H50" s="1241">
        <v>0</v>
      </c>
      <c r="I50" s="1241"/>
      <c r="J50" s="1241"/>
      <c r="K50" s="503">
        <f aca="true" t="shared" si="0" ref="K50:K55">F50*H50</f>
        <v>0</v>
      </c>
      <c r="L50" s="1141"/>
      <c r="M50" s="41"/>
      <c r="N50" s="96"/>
      <c r="O50" s="97"/>
      <c r="P50" s="41"/>
      <c r="Q50" s="96"/>
      <c r="R50" s="41"/>
      <c r="S50" s="41"/>
      <c r="T50" s="41"/>
      <c r="U50" s="3"/>
    </row>
    <row r="51" spans="1:21" ht="23.25" customHeight="1">
      <c r="A51" s="1218" t="s">
        <v>374</v>
      </c>
      <c r="B51" s="1218"/>
      <c r="C51" s="1218"/>
      <c r="D51" s="1218"/>
      <c r="E51" s="1218"/>
      <c r="F51" s="1248">
        <f>221*49</f>
        <v>10829</v>
      </c>
      <c r="G51" s="1248"/>
      <c r="H51" s="1242">
        <v>0</v>
      </c>
      <c r="I51" s="1242"/>
      <c r="J51" s="1242"/>
      <c r="K51" s="503">
        <f t="shared" si="0"/>
        <v>0</v>
      </c>
      <c r="L51" s="1141"/>
      <c r="M51" s="41"/>
      <c r="N51" s="96"/>
      <c r="O51" s="97"/>
      <c r="P51" s="41"/>
      <c r="Q51" s="96"/>
      <c r="R51" s="41"/>
      <c r="S51" s="41"/>
      <c r="T51" s="41"/>
      <c r="U51" s="3"/>
    </row>
    <row r="52" spans="1:21" ht="23.25" customHeight="1">
      <c r="A52" s="1243" t="s">
        <v>376</v>
      </c>
      <c r="B52" s="1243"/>
      <c r="C52" s="1243"/>
      <c r="D52" s="1243"/>
      <c r="E52" s="1243"/>
      <c r="F52" s="1240">
        <f>336*49</f>
        <v>16464</v>
      </c>
      <c r="G52" s="1240"/>
      <c r="H52" s="1241">
        <v>0</v>
      </c>
      <c r="I52" s="1241"/>
      <c r="J52" s="1241"/>
      <c r="K52" s="503">
        <f t="shared" si="0"/>
        <v>0</v>
      </c>
      <c r="L52" s="1141"/>
      <c r="M52" s="41"/>
      <c r="N52" s="96"/>
      <c r="O52" s="97"/>
      <c r="P52" s="41"/>
      <c r="Q52" s="96"/>
      <c r="R52" s="41"/>
      <c r="S52" s="41"/>
      <c r="T52" s="41"/>
      <c r="U52" s="3"/>
    </row>
    <row r="53" spans="1:21" ht="24.75" customHeight="1">
      <c r="A53" s="1243" t="s">
        <v>377</v>
      </c>
      <c r="B53" s="1243"/>
      <c r="C53" s="1243"/>
      <c r="D53" s="1243"/>
      <c r="E53" s="1243"/>
      <c r="F53" s="1240">
        <f>320*49</f>
        <v>15680</v>
      </c>
      <c r="G53" s="1240"/>
      <c r="H53" s="1241">
        <v>0</v>
      </c>
      <c r="I53" s="1241"/>
      <c r="J53" s="1241"/>
      <c r="K53" s="503">
        <f t="shared" si="0"/>
        <v>0</v>
      </c>
      <c r="L53" s="1141"/>
      <c r="M53" s="41"/>
      <c r="N53" s="96"/>
      <c r="O53" s="97"/>
      <c r="P53" s="96"/>
      <c r="Q53" s="96"/>
      <c r="R53" s="41"/>
      <c r="S53" s="41"/>
      <c r="T53" s="41"/>
      <c r="U53" s="3"/>
    </row>
    <row r="54" spans="1:21" ht="23.25" customHeight="1">
      <c r="A54" s="1243" t="s">
        <v>378</v>
      </c>
      <c r="B54" s="1243"/>
      <c r="C54" s="1243"/>
      <c r="D54" s="1243"/>
      <c r="E54" s="1243"/>
      <c r="F54" s="1240">
        <f>410*49</f>
        <v>20090</v>
      </c>
      <c r="G54" s="1240"/>
      <c r="H54" s="1241">
        <v>0</v>
      </c>
      <c r="I54" s="1241"/>
      <c r="J54" s="1241"/>
      <c r="K54" s="503">
        <f t="shared" si="0"/>
        <v>0</v>
      </c>
      <c r="L54" s="1141"/>
      <c r="M54" s="41"/>
      <c r="N54" s="96"/>
      <c r="O54" s="97"/>
      <c r="P54" s="96"/>
      <c r="Q54" s="96"/>
      <c r="R54" s="41"/>
      <c r="S54" s="41"/>
      <c r="T54" s="41"/>
      <c r="U54" s="3"/>
    </row>
    <row r="55" spans="1:21" s="7" customFormat="1" ht="17.25" customHeight="1">
      <c r="A55" s="1243" t="s">
        <v>550</v>
      </c>
      <c r="B55" s="1243"/>
      <c r="C55" s="1243"/>
      <c r="D55" s="1243"/>
      <c r="E55" s="1243"/>
      <c r="F55" s="1240">
        <v>3500</v>
      </c>
      <c r="G55" s="1240"/>
      <c r="H55" s="1241">
        <v>0</v>
      </c>
      <c r="I55" s="1241"/>
      <c r="J55" s="1241"/>
      <c r="K55" s="503">
        <f t="shared" si="0"/>
        <v>0</v>
      </c>
      <c r="L55" s="1141"/>
      <c r="M55" s="41"/>
      <c r="N55" s="96"/>
      <c r="O55" s="97"/>
      <c r="P55" s="96"/>
      <c r="Q55" s="96"/>
      <c r="R55" s="41"/>
      <c r="S55" s="41"/>
      <c r="T55" s="41"/>
      <c r="U55" s="41"/>
    </row>
    <row r="56" spans="1:21" ht="12.75" hidden="1">
      <c r="A56" s="1063" t="s">
        <v>442</v>
      </c>
      <c r="B56" s="1063"/>
      <c r="C56" s="1063"/>
      <c r="D56" s="1063"/>
      <c r="E56" s="1063"/>
      <c r="F56" s="847" t="s">
        <v>367</v>
      </c>
      <c r="G56" s="847"/>
      <c r="H56" s="847" t="s">
        <v>382</v>
      </c>
      <c r="I56" s="847"/>
      <c r="J56" s="847"/>
      <c r="K56" s="197" t="s">
        <v>369</v>
      </c>
      <c r="L56" s="1141"/>
      <c r="M56" s="41"/>
      <c r="N56" s="41"/>
      <c r="O56" s="41"/>
      <c r="P56" s="41"/>
      <c r="Q56" s="94"/>
      <c r="R56" s="41"/>
      <c r="S56" s="41"/>
      <c r="T56" s="41"/>
      <c r="U56" s="3"/>
    </row>
    <row r="57" spans="1:21" ht="0.75" customHeight="1" hidden="1">
      <c r="A57" s="1218" t="s">
        <v>383</v>
      </c>
      <c r="B57" s="1218"/>
      <c r="C57" s="1218"/>
      <c r="D57" s="1218"/>
      <c r="E57" s="1218"/>
      <c r="F57" s="1249">
        <v>125</v>
      </c>
      <c r="G57" s="1249"/>
      <c r="H57" s="1060">
        <v>0</v>
      </c>
      <c r="I57" s="1060"/>
      <c r="J57" s="1060"/>
      <c r="K57" s="211">
        <f>F57*H57</f>
        <v>0</v>
      </c>
      <c r="L57" s="1141"/>
      <c r="M57" s="41"/>
      <c r="N57" s="96"/>
      <c r="O57" s="97"/>
      <c r="P57" s="96"/>
      <c r="Q57" s="96"/>
      <c r="R57" s="41"/>
      <c r="S57" s="41"/>
      <c r="T57" s="41"/>
      <c r="U57" s="3"/>
    </row>
    <row r="58" spans="1:21" ht="12.75" hidden="1">
      <c r="A58" s="1243" t="s">
        <v>384</v>
      </c>
      <c r="B58" s="1243"/>
      <c r="C58" s="1243"/>
      <c r="D58" s="1243"/>
      <c r="E58" s="1243"/>
      <c r="F58" s="1245">
        <v>375</v>
      </c>
      <c r="G58" s="1245"/>
      <c r="H58" s="970">
        <v>0</v>
      </c>
      <c r="I58" s="970"/>
      <c r="J58" s="970"/>
      <c r="K58" s="211">
        <f>F58*H58</f>
        <v>0</v>
      </c>
      <c r="L58" s="1141"/>
      <c r="M58" s="41"/>
      <c r="N58" s="96"/>
      <c r="O58" s="97"/>
      <c r="P58" s="96"/>
      <c r="Q58" s="96"/>
      <c r="R58" s="41"/>
      <c r="S58" s="41"/>
      <c r="T58" s="41"/>
      <c r="U58" s="3"/>
    </row>
    <row r="59" spans="1:21" ht="12.75" hidden="1">
      <c r="A59" s="1243" t="s">
        <v>385</v>
      </c>
      <c r="B59" s="1243"/>
      <c r="C59" s="1243"/>
      <c r="D59" s="1243"/>
      <c r="E59" s="1243"/>
      <c r="F59" s="1245">
        <v>125</v>
      </c>
      <c r="G59" s="1245"/>
      <c r="H59" s="970">
        <v>0</v>
      </c>
      <c r="I59" s="970"/>
      <c r="J59" s="970"/>
      <c r="K59" s="211">
        <f>F59*H59</f>
        <v>0</v>
      </c>
      <c r="L59" s="1141"/>
      <c r="M59" s="41"/>
      <c r="N59" s="96"/>
      <c r="O59" s="97"/>
      <c r="P59" s="96"/>
      <c r="Q59" s="96"/>
      <c r="R59" s="41"/>
      <c r="S59" s="41"/>
      <c r="T59" s="41"/>
      <c r="U59" s="3"/>
    </row>
    <row r="60" spans="5:21" s="7" customFormat="1" ht="15.75">
      <c r="E60" s="1069" t="s">
        <v>80</v>
      </c>
      <c r="F60" s="1069"/>
      <c r="G60" s="1069"/>
      <c r="H60" s="1069"/>
      <c r="I60" s="1069"/>
      <c r="J60" s="1129"/>
      <c r="K60" s="665">
        <f>K18+K19+K20+K26+K27+K34+K35+K36+K39+K40+K41+K47+K50+K51+K52+K53+K54+K55</f>
        <v>0</v>
      </c>
      <c r="L60" s="1141"/>
      <c r="M60" s="43"/>
      <c r="N60" s="43"/>
      <c r="O60" s="97"/>
      <c r="P60" s="94"/>
      <c r="Q60" s="21"/>
      <c r="R60" s="45"/>
      <c r="S60" s="21"/>
      <c r="T60" s="21"/>
      <c r="U60" s="41"/>
    </row>
    <row r="61" spans="5:21" s="7" customFormat="1" ht="15.75">
      <c r="E61" s="1069" t="s">
        <v>103</v>
      </c>
      <c r="F61" s="1069"/>
      <c r="G61" s="1069"/>
      <c r="H61" s="1069"/>
      <c r="I61" s="1069"/>
      <c r="J61" s="1129"/>
      <c r="K61" s="665">
        <f>K60*0.18</f>
        <v>0</v>
      </c>
      <c r="L61" s="1141"/>
      <c r="M61" s="43"/>
      <c r="N61" s="43"/>
      <c r="O61" s="95"/>
      <c r="P61" s="94"/>
      <c r="Q61" s="21"/>
      <c r="R61" s="45"/>
      <c r="S61" s="21"/>
      <c r="T61" s="21"/>
      <c r="U61" s="41"/>
    </row>
    <row r="62" spans="5:21" s="7" customFormat="1" ht="15.75">
      <c r="E62" s="1069" t="s">
        <v>82</v>
      </c>
      <c r="F62" s="1069"/>
      <c r="G62" s="1069"/>
      <c r="H62" s="1069"/>
      <c r="I62" s="1069"/>
      <c r="J62" s="1129"/>
      <c r="K62" s="666">
        <f>K60+K61</f>
        <v>0</v>
      </c>
      <c r="L62" s="1141"/>
      <c r="M62" s="43"/>
      <c r="N62" s="43"/>
      <c r="O62" s="97"/>
      <c r="P62" s="94"/>
      <c r="Q62" s="21"/>
      <c r="R62" s="21"/>
      <c r="S62" s="21"/>
      <c r="T62" s="21"/>
      <c r="U62" s="41"/>
    </row>
    <row r="63" spans="5:21" s="7" customFormat="1" ht="15.75">
      <c r="E63" s="638"/>
      <c r="F63" s="638"/>
      <c r="G63" s="638"/>
      <c r="H63" s="638"/>
      <c r="I63" s="638"/>
      <c r="J63" s="619"/>
      <c r="K63" s="644"/>
      <c r="L63" s="1141"/>
      <c r="M63" s="43"/>
      <c r="N63" s="43"/>
      <c r="O63" s="97"/>
      <c r="P63" s="94"/>
      <c r="Q63" s="21"/>
      <c r="R63" s="21"/>
      <c r="S63" s="21"/>
      <c r="T63" s="21"/>
      <c r="U63" s="41"/>
    </row>
    <row r="64" spans="1:12" ht="40.5" customHeight="1">
      <c r="A64" s="1113" t="s">
        <v>104</v>
      </c>
      <c r="B64" s="1113"/>
      <c r="C64" s="1113"/>
      <c r="D64" s="1113"/>
      <c r="E64" s="1113"/>
      <c r="F64" s="1113"/>
      <c r="G64" s="1113"/>
      <c r="H64" s="1113"/>
      <c r="I64" s="1113"/>
      <c r="J64" s="1113"/>
      <c r="K64" s="1113"/>
      <c r="L64" s="1141"/>
    </row>
    <row r="65" spans="1:12" ht="26.25" customHeight="1">
      <c r="A65" s="1113" t="s">
        <v>105</v>
      </c>
      <c r="B65" s="1113"/>
      <c r="C65" s="1113"/>
      <c r="D65" s="1113"/>
      <c r="E65" s="1113"/>
      <c r="F65" s="1113"/>
      <c r="G65" s="1113"/>
      <c r="H65" s="1113"/>
      <c r="I65" s="1113"/>
      <c r="J65" s="1113"/>
      <c r="K65" s="1113"/>
      <c r="L65" s="1141"/>
    </row>
    <row r="66" spans="1:12" ht="26.25" customHeight="1">
      <c r="A66" s="620"/>
      <c r="B66" s="620"/>
      <c r="C66" s="620"/>
      <c r="D66" s="620"/>
      <c r="E66" s="620"/>
      <c r="F66" s="620"/>
      <c r="G66" s="620"/>
      <c r="H66" s="620"/>
      <c r="I66" s="620"/>
      <c r="J66" s="620"/>
      <c r="K66" s="620"/>
      <c r="L66" s="621"/>
    </row>
    <row r="67" spans="1:12" ht="12.75">
      <c r="A67" s="1173" t="s">
        <v>1007</v>
      </c>
      <c r="B67" s="1173"/>
      <c r="C67" s="7"/>
      <c r="D67" s="7"/>
      <c r="E67" s="7"/>
      <c r="F67" s="7"/>
      <c r="G67" s="7"/>
      <c r="H67" s="7"/>
      <c r="I67" s="7"/>
      <c r="J67" s="7"/>
      <c r="K67" s="7"/>
      <c r="L67" s="369"/>
    </row>
    <row r="68" spans="1:12" ht="5.25" customHeight="1">
      <c r="A68" s="184"/>
      <c r="B68" s="184"/>
      <c r="C68" s="7"/>
      <c r="D68" s="7"/>
      <c r="E68" s="7"/>
      <c r="F68" s="7"/>
      <c r="G68" s="7"/>
      <c r="H68" s="7"/>
      <c r="I68" s="7"/>
      <c r="J68" s="7"/>
      <c r="K68" s="7"/>
      <c r="L68" s="369"/>
    </row>
    <row r="69" spans="1:12" ht="5.25" customHeight="1">
      <c r="A69" s="184"/>
      <c r="B69" s="184"/>
      <c r="C69" s="7"/>
      <c r="D69" s="7"/>
      <c r="E69" s="7"/>
      <c r="F69" s="7"/>
      <c r="G69" s="7"/>
      <c r="H69" s="7"/>
      <c r="I69" s="7"/>
      <c r="J69" s="7"/>
      <c r="K69" s="7"/>
      <c r="L69" s="369"/>
    </row>
    <row r="70" spans="1:12" ht="5.25" customHeight="1">
      <c r="A70" s="184"/>
      <c r="B70" s="184"/>
      <c r="C70" s="7"/>
      <c r="D70" s="7"/>
      <c r="E70" s="7"/>
      <c r="F70" s="7"/>
      <c r="G70" s="7"/>
      <c r="H70" s="7"/>
      <c r="I70" s="7"/>
      <c r="J70" s="7"/>
      <c r="K70" s="7"/>
      <c r="L70" s="369"/>
    </row>
    <row r="71" spans="1:12" ht="12.75" customHeight="1">
      <c r="A71" s="984" t="s">
        <v>319</v>
      </c>
      <c r="B71" s="984"/>
      <c r="C71" s="984"/>
      <c r="D71" s="984"/>
      <c r="E71" s="984"/>
      <c r="F71" s="47" t="s">
        <v>564</v>
      </c>
      <c r="G71" s="1014" t="str">
        <f>CONCATENATE('Заявка стр. 1'!B4)</f>
        <v>АО "Научно-производственный центр "Вигстар"</v>
      </c>
      <c r="H71" s="1014"/>
      <c r="I71" s="1014"/>
      <c r="J71" s="1014"/>
      <c r="K71" s="1014"/>
      <c r="L71" s="369"/>
    </row>
    <row r="72" spans="1:20" s="583" customFormat="1" ht="12.75" customHeight="1">
      <c r="A72" s="1089" t="s">
        <v>1093</v>
      </c>
      <c r="B72" s="1089"/>
      <c r="C72" s="1089"/>
      <c r="D72" s="1089"/>
      <c r="E72" s="1089"/>
      <c r="F72" s="47"/>
      <c r="G72" s="1247" t="str">
        <f>CONCATENATE('Заявка стр. 1'!B17)</f>
        <v>Заместитель генерального директора по экономике и финансам</v>
      </c>
      <c r="H72" s="1247"/>
      <c r="I72" s="1247"/>
      <c r="J72" s="1247"/>
      <c r="K72" s="1247"/>
      <c r="L72" s="574"/>
      <c r="M72" s="582"/>
      <c r="N72" s="582"/>
      <c r="O72" s="582"/>
      <c r="P72" s="582"/>
      <c r="Q72" s="582"/>
      <c r="R72" s="582"/>
      <c r="S72" s="582"/>
      <c r="T72" s="582"/>
    </row>
    <row r="73" spans="1:20" s="583" customFormat="1" ht="12.75" customHeight="1">
      <c r="A73" s="628" t="s">
        <v>729</v>
      </c>
      <c r="B73" s="104"/>
      <c r="C73" s="104"/>
      <c r="D73" s="104"/>
      <c r="E73" s="104"/>
      <c r="F73" s="47"/>
      <c r="G73" s="622"/>
      <c r="H73" s="622"/>
      <c r="I73" s="622"/>
      <c r="J73" s="622"/>
      <c r="K73" s="622"/>
      <c r="L73" s="574"/>
      <c r="M73" s="582"/>
      <c r="N73" s="582"/>
      <c r="O73" s="582"/>
      <c r="P73" s="582"/>
      <c r="Q73" s="582"/>
      <c r="R73" s="582"/>
      <c r="S73" s="582"/>
      <c r="T73" s="582"/>
    </row>
    <row r="74" spans="1:12" ht="12.75" customHeight="1">
      <c r="A74" s="988"/>
      <c r="B74" s="988"/>
      <c r="C74" s="988"/>
      <c r="D74" s="988"/>
      <c r="E74" s="988"/>
      <c r="F74" s="44"/>
      <c r="G74" s="988" t="str">
        <f>CONCATENATE('Заявка стр. 1'!A19)</f>
        <v>Короткевич Олег Иосифович</v>
      </c>
      <c r="H74" s="988"/>
      <c r="I74" s="988"/>
      <c r="J74" s="988"/>
      <c r="K74" s="988"/>
      <c r="L74" s="369"/>
    </row>
    <row r="75" spans="1:12" ht="12.75">
      <c r="A75" s="1081" t="s">
        <v>562</v>
      </c>
      <c r="B75" s="1081"/>
      <c r="C75" s="1081"/>
      <c r="D75" s="1081"/>
      <c r="E75" s="1081"/>
      <c r="F75" s="44"/>
      <c r="G75" s="1082" t="s">
        <v>414</v>
      </c>
      <c r="H75" s="1082"/>
      <c r="I75" s="1082"/>
      <c r="J75" s="1082"/>
      <c r="K75" s="1082"/>
      <c r="L75" s="369"/>
    </row>
    <row r="76" spans="1:20" s="4" customFormat="1" ht="16.5" customHeight="1">
      <c r="A76" s="1246" t="s">
        <v>747</v>
      </c>
      <c r="B76" s="1246"/>
      <c r="C76" s="1246"/>
      <c r="D76" s="1246"/>
      <c r="E76" s="1246"/>
      <c r="F76" s="41"/>
      <c r="G76" s="1244" t="s">
        <v>747</v>
      </c>
      <c r="H76" s="1244"/>
      <c r="I76" s="1244"/>
      <c r="J76" s="1244"/>
      <c r="K76" s="1244"/>
      <c r="L76" s="369"/>
      <c r="M76" s="22"/>
      <c r="N76" s="22"/>
      <c r="O76" s="22"/>
      <c r="P76" s="22"/>
      <c r="Q76" s="22"/>
      <c r="R76" s="22"/>
      <c r="S76" s="22"/>
      <c r="T76" s="22"/>
    </row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</sheetData>
  <sheetProtection password="CC03" sheet="1" objects="1" scenarios="1" formatCells="0" formatColumns="0" formatRows="0" selectLockedCells="1"/>
  <mergeCells count="143">
    <mergeCell ref="A46:K46"/>
    <mergeCell ref="F53:G53"/>
    <mergeCell ref="H53:J53"/>
    <mergeCell ref="A47:E47"/>
    <mergeCell ref="F47:G47"/>
    <mergeCell ref="H47:J47"/>
    <mergeCell ref="A49:E49"/>
    <mergeCell ref="F49:G49"/>
    <mergeCell ref="H49:J49"/>
    <mergeCell ref="F50:G50"/>
    <mergeCell ref="A58:E58"/>
    <mergeCell ref="F57:G57"/>
    <mergeCell ref="H57:J57"/>
    <mergeCell ref="A57:E57"/>
    <mergeCell ref="F56:G56"/>
    <mergeCell ref="H56:J56"/>
    <mergeCell ref="A56:E56"/>
    <mergeCell ref="H54:J54"/>
    <mergeCell ref="A52:E52"/>
    <mergeCell ref="H50:J50"/>
    <mergeCell ref="A50:E50"/>
    <mergeCell ref="A54:E54"/>
    <mergeCell ref="A51:E51"/>
    <mergeCell ref="F51:G51"/>
    <mergeCell ref="A76:E76"/>
    <mergeCell ref="A67:B67"/>
    <mergeCell ref="E60:J60"/>
    <mergeCell ref="F58:G58"/>
    <mergeCell ref="H58:J58"/>
    <mergeCell ref="A75:E75"/>
    <mergeCell ref="A65:K65"/>
    <mergeCell ref="A74:E74"/>
    <mergeCell ref="G72:K72"/>
    <mergeCell ref="G71:K71"/>
    <mergeCell ref="A45:E45"/>
    <mergeCell ref="F45:G45"/>
    <mergeCell ref="H45:J45"/>
    <mergeCell ref="G76:K76"/>
    <mergeCell ref="E62:J62"/>
    <mergeCell ref="A59:E59"/>
    <mergeCell ref="F59:G59"/>
    <mergeCell ref="G75:K75"/>
    <mergeCell ref="G74:K74"/>
    <mergeCell ref="H59:J59"/>
    <mergeCell ref="E61:J61"/>
    <mergeCell ref="A64:K64"/>
    <mergeCell ref="F52:G52"/>
    <mergeCell ref="H52:J52"/>
    <mergeCell ref="F54:G54"/>
    <mergeCell ref="H51:J51"/>
    <mergeCell ref="A53:E53"/>
    <mergeCell ref="A55:E55"/>
    <mergeCell ref="F55:G55"/>
    <mergeCell ref="H55:J55"/>
    <mergeCell ref="A72:E72"/>
    <mergeCell ref="A71:E71"/>
    <mergeCell ref="G1:K2"/>
    <mergeCell ref="B5:C5"/>
    <mergeCell ref="F5:H7"/>
    <mergeCell ref="A7:C7"/>
    <mergeCell ref="F1:F3"/>
    <mergeCell ref="A1:E1"/>
    <mergeCell ref="A2:B2"/>
    <mergeCell ref="H17:J17"/>
    <mergeCell ref="M18:O18"/>
    <mergeCell ref="C2:E2"/>
    <mergeCell ref="G3:H3"/>
    <mergeCell ref="J3:K3"/>
    <mergeCell ref="B9:C9"/>
    <mergeCell ref="F9:H9"/>
    <mergeCell ref="C3:E3"/>
    <mergeCell ref="A16:K16"/>
    <mergeCell ref="F11:H11"/>
    <mergeCell ref="B11:C11"/>
    <mergeCell ref="F17:G17"/>
    <mergeCell ref="A17:E17"/>
    <mergeCell ref="M19:O20"/>
    <mergeCell ref="H20:J20"/>
    <mergeCell ref="L1:L65"/>
    <mergeCell ref="A13:K13"/>
    <mergeCell ref="A14:C14"/>
    <mergeCell ref="A15:K15"/>
    <mergeCell ref="E14:K14"/>
    <mergeCell ref="A18:E18"/>
    <mergeCell ref="F18:G18"/>
    <mergeCell ref="H18:J18"/>
    <mergeCell ref="H19:J19"/>
    <mergeCell ref="A20:E20"/>
    <mergeCell ref="A19:E19"/>
    <mergeCell ref="F19:G19"/>
    <mergeCell ref="A25:E25"/>
    <mergeCell ref="F25:G25"/>
    <mergeCell ref="F20:G20"/>
    <mergeCell ref="A22:K22"/>
    <mergeCell ref="A21:K21"/>
    <mergeCell ref="H25:J25"/>
    <mergeCell ref="A23:I23"/>
    <mergeCell ref="A24:K24"/>
    <mergeCell ref="A29:K29"/>
    <mergeCell ref="A30:I30"/>
    <mergeCell ref="A26:E26"/>
    <mergeCell ref="F26:G26"/>
    <mergeCell ref="H26:J26"/>
    <mergeCell ref="H27:J27"/>
    <mergeCell ref="A27:E27"/>
    <mergeCell ref="F27:G27"/>
    <mergeCell ref="A44:E44"/>
    <mergeCell ref="F44:G44"/>
    <mergeCell ref="H44:J44"/>
    <mergeCell ref="A28:K28"/>
    <mergeCell ref="A43:E43"/>
    <mergeCell ref="F43:G43"/>
    <mergeCell ref="H43:J43"/>
    <mergeCell ref="A42:E42"/>
    <mergeCell ref="F42:G42"/>
    <mergeCell ref="H42:J42"/>
    <mergeCell ref="H36:J36"/>
    <mergeCell ref="A33:E33"/>
    <mergeCell ref="F33:G33"/>
    <mergeCell ref="H33:J33"/>
    <mergeCell ref="A34:E34"/>
    <mergeCell ref="F34:G34"/>
    <mergeCell ref="H34:J34"/>
    <mergeCell ref="H40:J40"/>
    <mergeCell ref="A31:K31"/>
    <mergeCell ref="A38:E38"/>
    <mergeCell ref="F38:G38"/>
    <mergeCell ref="H38:J38"/>
    <mergeCell ref="A35:E35"/>
    <mergeCell ref="F35:G35"/>
    <mergeCell ref="H35:J35"/>
    <mergeCell ref="A36:E36"/>
    <mergeCell ref="F36:G36"/>
    <mergeCell ref="A41:E41"/>
    <mergeCell ref="F41:G41"/>
    <mergeCell ref="H41:J41"/>
    <mergeCell ref="A32:K32"/>
    <mergeCell ref="A37:K37"/>
    <mergeCell ref="A39:E39"/>
    <mergeCell ref="F39:G39"/>
    <mergeCell ref="H39:J39"/>
    <mergeCell ref="A40:E40"/>
    <mergeCell ref="F40:G40"/>
  </mergeCells>
  <hyperlinks>
    <hyperlink ref="B11" r:id="rId1" display="leonid@b95.ru"/>
  </hyperlinks>
  <printOptions horizontalCentered="1"/>
  <pageMargins left="0.7874015748031497" right="0.15748031496062992" top="0.3937007874015748" bottom="0.3937007874015748" header="0.5118110236220472" footer="0.5118110236220472"/>
  <pageSetup fitToHeight="2" fitToWidth="1" horizontalDpi="600" verticalDpi="600" orientation="portrait" paperSize="9" scale="89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47"/>
  <sheetViews>
    <sheetView showZeros="0" zoomScalePageLayoutView="0" workbookViewId="0" topLeftCell="A1">
      <selection activeCell="A8" sqref="A8"/>
    </sheetView>
  </sheetViews>
  <sheetFormatPr defaultColWidth="9.00390625" defaultRowHeight="12.75"/>
  <cols>
    <col min="2" max="2" width="10.125" style="0" customWidth="1"/>
    <col min="3" max="3" width="11.125" style="0" customWidth="1"/>
    <col min="4" max="4" width="30.125" style="0" customWidth="1"/>
    <col min="5" max="7" width="12.75390625" style="0" customWidth="1"/>
    <col min="8" max="8" width="13.375" style="0" customWidth="1"/>
    <col min="9" max="9" width="12.75390625" style="0" customWidth="1"/>
    <col min="10" max="10" width="12.75390625" style="49" customWidth="1"/>
    <col min="11" max="14" width="9.125" style="49" customWidth="1"/>
  </cols>
  <sheetData>
    <row r="1" spans="1:10" ht="25.5" customHeight="1">
      <c r="A1" s="1034" t="s">
        <v>217</v>
      </c>
      <c r="B1" s="1034"/>
      <c r="C1" s="94"/>
      <c r="D1" s="94"/>
      <c r="E1" s="1258" t="s">
        <v>941</v>
      </c>
      <c r="F1" s="1258"/>
      <c r="G1" s="110"/>
      <c r="H1" s="1009" t="s">
        <v>940</v>
      </c>
      <c r="I1" s="1009"/>
      <c r="J1" s="1009"/>
    </row>
    <row r="2" spans="1:10" ht="27.75" customHeight="1">
      <c r="A2" s="1004" t="s">
        <v>696</v>
      </c>
      <c r="B2" s="1004"/>
      <c r="C2" s="1004" t="str">
        <f>'содержание '!C79</f>
        <v>ArmHiTec-2016</v>
      </c>
      <c r="D2" s="1004"/>
      <c r="E2" s="1258"/>
      <c r="F2" s="1258"/>
      <c r="G2" s="1091"/>
      <c r="H2" s="1091"/>
      <c r="I2" s="1091"/>
      <c r="J2" s="1091"/>
    </row>
    <row r="3" spans="1:10" ht="19.5" customHeight="1">
      <c r="A3" s="417" t="s">
        <v>697</v>
      </c>
      <c r="B3" s="207" t="str">
        <f>CONCATENATE('содержание '!C104)</f>
        <v>/AHT</v>
      </c>
      <c r="C3" s="1052" t="s">
        <v>257</v>
      </c>
      <c r="D3" s="1052"/>
      <c r="E3" s="1259"/>
      <c r="F3" s="1259"/>
      <c r="G3" s="1094" t="s">
        <v>185</v>
      </c>
      <c r="H3" s="1094"/>
      <c r="I3" s="1037" t="str">
        <f>'содержание '!C93</f>
        <v>1 сентября 2016 года</v>
      </c>
      <c r="J3" s="1037"/>
    </row>
    <row r="4" spans="1:23" s="1" customFormat="1" ht="9.75" customHeight="1">
      <c r="A4" s="31"/>
      <c r="B4" s="34"/>
      <c r="C4" s="152"/>
      <c r="D4" s="152"/>
      <c r="E4" s="152"/>
      <c r="F4" s="152"/>
      <c r="G4" s="177"/>
      <c r="H4" s="177"/>
      <c r="I4" s="149"/>
      <c r="J4" s="149"/>
      <c r="K4" s="149"/>
      <c r="L4" s="149"/>
      <c r="M4" s="52"/>
      <c r="N4" s="52"/>
      <c r="O4" s="7"/>
      <c r="P4" s="22"/>
      <c r="Q4" s="22"/>
      <c r="R4" s="22"/>
      <c r="S4" s="7"/>
      <c r="T4" s="7"/>
      <c r="U4" s="7"/>
      <c r="V4" s="7"/>
      <c r="W4" s="7"/>
    </row>
    <row r="5" spans="1:23" s="1" customFormat="1" ht="12" customHeight="1">
      <c r="A5" s="315" t="s">
        <v>121</v>
      </c>
      <c r="B5" s="721">
        <f>CONCATENATE('Заявка стр. 2'!B10)</f>
      </c>
      <c r="C5" s="721"/>
      <c r="D5" s="155" t="s">
        <v>564</v>
      </c>
      <c r="E5" s="1004" t="str">
        <f>CONCATENATE('Заявка стр. 1'!B3)</f>
        <v>АО "Научно-производственный центр "Вигстар"</v>
      </c>
      <c r="F5" s="1004"/>
      <c r="G5" s="1004"/>
      <c r="H5" s="1004"/>
      <c r="I5" s="153" t="s">
        <v>271</v>
      </c>
      <c r="J5" s="291">
        <f>'Заявка стр. 2'!L8</f>
        <v>0</v>
      </c>
      <c r="L5" s="7"/>
      <c r="M5" s="7"/>
      <c r="N5" s="7"/>
      <c r="O5" s="161"/>
      <c r="P5" s="7"/>
      <c r="Q5" s="7"/>
      <c r="R5" s="7"/>
      <c r="S5" s="7"/>
      <c r="T5" s="7"/>
      <c r="U5" s="7"/>
      <c r="V5" s="7"/>
      <c r="W5" s="7"/>
    </row>
    <row r="6" spans="1:15" s="7" customFormat="1" ht="2.25" customHeight="1">
      <c r="A6" s="193"/>
      <c r="B6" s="194"/>
      <c r="C6" s="165"/>
      <c r="D6" s="155"/>
      <c r="E6" s="1004"/>
      <c r="F6" s="1004"/>
      <c r="G6" s="1004"/>
      <c r="H6" s="1004"/>
      <c r="I6" s="161"/>
      <c r="J6" s="157"/>
      <c r="O6" s="161"/>
    </row>
    <row r="7" spans="1:23" s="1" customFormat="1" ht="12" customHeight="1">
      <c r="A7" s="1112" t="s">
        <v>186</v>
      </c>
      <c r="B7" s="1112"/>
      <c r="C7" s="1112"/>
      <c r="D7" s="174"/>
      <c r="E7" s="1254"/>
      <c r="F7" s="1254"/>
      <c r="G7" s="1254"/>
      <c r="H7" s="1254"/>
      <c r="I7" s="153" t="s">
        <v>713</v>
      </c>
      <c r="J7" s="291">
        <f>'Заявка стр. 2'!L10</f>
        <v>0</v>
      </c>
      <c r="L7" s="7"/>
      <c r="M7" s="7"/>
      <c r="N7" s="7"/>
      <c r="O7" s="161"/>
      <c r="P7" s="7"/>
      <c r="Q7" s="7"/>
      <c r="R7" s="7"/>
      <c r="S7" s="7"/>
      <c r="T7" s="7"/>
      <c r="U7" s="7"/>
      <c r="V7" s="7"/>
      <c r="W7" s="7"/>
    </row>
    <row r="8" spans="1:15" s="7" customFormat="1" ht="2.25" customHeight="1">
      <c r="A8" s="166"/>
      <c r="B8" s="164"/>
      <c r="C8" s="167"/>
      <c r="D8" s="157"/>
      <c r="I8" s="154"/>
      <c r="J8" s="180"/>
      <c r="O8" s="161"/>
    </row>
    <row r="9" spans="1:23" s="1" customFormat="1" ht="12" customHeight="1">
      <c r="A9" s="170" t="s">
        <v>982</v>
      </c>
      <c r="B9" s="724" t="str">
        <f>CONCATENATE('Заявка стр. 2'!C12,'Заявка стр. 2'!E12)</f>
        <v> +7 (495) 937-40-81, доб.</v>
      </c>
      <c r="C9" s="724"/>
      <c r="D9" s="155" t="s">
        <v>977</v>
      </c>
      <c r="E9" s="871" t="str">
        <f>CONCATENATE('Заявка стр. 1'!A25)</f>
        <v>Симонова Наталья Владимировна</v>
      </c>
      <c r="F9" s="871"/>
      <c r="G9" s="871"/>
      <c r="H9" s="871"/>
      <c r="I9" s="153" t="s">
        <v>979</v>
      </c>
      <c r="J9" s="291">
        <f>'Заявка стр. 2'!L12</f>
        <v>0</v>
      </c>
      <c r="K9" s="7"/>
      <c r="L9" s="7"/>
      <c r="M9" s="7"/>
      <c r="N9" s="7"/>
      <c r="O9" s="161"/>
      <c r="P9" s="7"/>
      <c r="Q9" s="7"/>
      <c r="R9" s="7"/>
      <c r="S9" s="7"/>
      <c r="T9" s="7"/>
      <c r="U9" s="7"/>
      <c r="V9" s="7"/>
      <c r="W9" s="7"/>
    </row>
    <row r="10" spans="1:15" s="7" customFormat="1" ht="2.25" customHeight="1">
      <c r="A10" s="166"/>
      <c r="B10" s="164"/>
      <c r="C10" s="164"/>
      <c r="D10" s="160"/>
      <c r="I10" s="154"/>
      <c r="J10" s="180"/>
      <c r="O10" s="161"/>
    </row>
    <row r="11" spans="1:23" s="1" customFormat="1" ht="12" customHeight="1">
      <c r="A11" s="170" t="s">
        <v>595</v>
      </c>
      <c r="B11" s="1260">
        <f>'Заявка стр. 2'!C14</f>
        <v>0</v>
      </c>
      <c r="C11" s="1239"/>
      <c r="D11" s="173" t="s">
        <v>978</v>
      </c>
      <c r="E11" s="871" t="str">
        <f>CONCATENATE('Заявка стр. 1'!B27)</f>
        <v>(495) 276-52-71</v>
      </c>
      <c r="F11" s="871"/>
      <c r="G11" s="871"/>
      <c r="H11" s="871"/>
      <c r="I11" s="153"/>
      <c r="J11" s="180"/>
      <c r="K11" s="7"/>
      <c r="L11" s="7"/>
      <c r="M11" s="7"/>
      <c r="N11" s="7"/>
      <c r="O11" s="161"/>
      <c r="P11" s="7"/>
      <c r="Q11" s="7"/>
      <c r="R11" s="7"/>
      <c r="S11" s="7"/>
      <c r="T11" s="7"/>
      <c r="U11" s="7"/>
      <c r="V11" s="7"/>
      <c r="W11" s="7"/>
    </row>
    <row r="12" spans="1:23" s="1" customFormat="1" ht="4.5" customHeight="1">
      <c r="A12" s="203"/>
      <c r="B12" s="204"/>
      <c r="C12" s="204"/>
      <c r="D12" s="204"/>
      <c r="E12" s="203"/>
      <c r="F12" s="205"/>
      <c r="G12" s="202"/>
      <c r="H12" s="202"/>
      <c r="I12" s="202"/>
      <c r="J12" s="213"/>
      <c r="K12" s="70"/>
      <c r="L12" s="182"/>
      <c r="M12" s="153"/>
      <c r="N12" s="180"/>
      <c r="O12" s="161"/>
      <c r="P12" s="22"/>
      <c r="Q12" s="22"/>
      <c r="R12" s="70"/>
      <c r="S12" s="7"/>
      <c r="T12" s="7"/>
      <c r="U12" s="7"/>
      <c r="V12" s="7"/>
      <c r="W12" s="7"/>
    </row>
    <row r="13" spans="1:10" ht="23.25" customHeight="1">
      <c r="A13" s="1255" t="s">
        <v>184</v>
      </c>
      <c r="B13" s="1255"/>
      <c r="C13" s="1255"/>
      <c r="D13" s="1255"/>
      <c r="E13" s="1255"/>
      <c r="F13" s="1255"/>
      <c r="G13" s="1255"/>
      <c r="H13" s="1255"/>
      <c r="I13" s="1255"/>
      <c r="J13" s="1255"/>
    </row>
    <row r="14" spans="1:10" ht="92.25" customHeight="1">
      <c r="A14" s="1261" t="s">
        <v>675</v>
      </c>
      <c r="B14" s="1257" t="s">
        <v>942</v>
      </c>
      <c r="C14" s="1257"/>
      <c r="D14" s="1257"/>
      <c r="E14" s="1257" t="s">
        <v>943</v>
      </c>
      <c r="F14" s="1257" t="s">
        <v>944</v>
      </c>
      <c r="G14" s="1257" t="s">
        <v>945</v>
      </c>
      <c r="H14" s="1261" t="s">
        <v>946</v>
      </c>
      <c r="I14" s="1261" t="s">
        <v>947</v>
      </c>
      <c r="J14" s="1261" t="s">
        <v>948</v>
      </c>
    </row>
    <row r="15" spans="1:14" s="23" customFormat="1" ht="10.5" customHeight="1" hidden="1">
      <c r="A15" s="1263"/>
      <c r="B15" s="1257"/>
      <c r="C15" s="1257"/>
      <c r="D15" s="1257"/>
      <c r="E15" s="1257"/>
      <c r="F15" s="1257"/>
      <c r="G15" s="1257"/>
      <c r="H15" s="1262"/>
      <c r="I15" s="1262"/>
      <c r="J15" s="1262"/>
      <c r="K15" s="39"/>
      <c r="L15" s="39"/>
      <c r="M15" s="39"/>
      <c r="N15" s="39"/>
    </row>
    <row r="16" spans="1:14" s="25" customFormat="1" ht="12.75">
      <c r="A16" s="608"/>
      <c r="B16" s="1256"/>
      <c r="C16" s="1256"/>
      <c r="D16" s="1256"/>
      <c r="E16" s="608"/>
      <c r="F16" s="608"/>
      <c r="G16" s="609"/>
      <c r="H16" s="608"/>
      <c r="I16" s="610"/>
      <c r="J16" s="610"/>
      <c r="K16" s="116"/>
      <c r="L16" s="116"/>
      <c r="M16" s="116"/>
      <c r="N16" s="116"/>
    </row>
    <row r="17" spans="1:14" s="25" customFormat="1" ht="15" customHeight="1">
      <c r="A17" s="608"/>
      <c r="B17" s="1256"/>
      <c r="C17" s="1256"/>
      <c r="D17" s="1256"/>
      <c r="E17" s="608"/>
      <c r="F17" s="608"/>
      <c r="G17" s="609"/>
      <c r="H17" s="608"/>
      <c r="I17" s="610"/>
      <c r="J17" s="610"/>
      <c r="K17" s="116"/>
      <c r="L17" s="116"/>
      <c r="M17" s="116"/>
      <c r="N17" s="116"/>
    </row>
    <row r="18" spans="1:14" s="25" customFormat="1" ht="14.25" customHeight="1">
      <c r="A18" s="608"/>
      <c r="B18" s="1256"/>
      <c r="C18" s="1256"/>
      <c r="D18" s="1256"/>
      <c r="E18" s="608"/>
      <c r="F18" s="608"/>
      <c r="G18" s="609"/>
      <c r="H18" s="608"/>
      <c r="I18" s="610"/>
      <c r="J18" s="610"/>
      <c r="K18" s="116"/>
      <c r="L18" s="116"/>
      <c r="M18" s="116"/>
      <c r="N18" s="116"/>
    </row>
    <row r="19" spans="1:14" s="25" customFormat="1" ht="12.75">
      <c r="A19" s="608"/>
      <c r="B19" s="1256"/>
      <c r="C19" s="1256"/>
      <c r="D19" s="1256"/>
      <c r="E19" s="608"/>
      <c r="F19" s="608"/>
      <c r="G19" s="609"/>
      <c r="H19" s="608"/>
      <c r="I19" s="610"/>
      <c r="J19" s="610"/>
      <c r="K19" s="116"/>
      <c r="L19" s="116"/>
      <c r="M19" s="116"/>
      <c r="N19" s="116"/>
    </row>
    <row r="20" spans="1:14" s="25" customFormat="1" ht="12.75">
      <c r="A20" s="608"/>
      <c r="B20" s="1256"/>
      <c r="C20" s="1256"/>
      <c r="D20" s="1256"/>
      <c r="E20" s="608"/>
      <c r="F20" s="608"/>
      <c r="G20" s="609"/>
      <c r="H20" s="608"/>
      <c r="I20" s="610"/>
      <c r="J20" s="610"/>
      <c r="K20" s="116"/>
      <c r="L20" s="116"/>
      <c r="M20" s="116"/>
      <c r="N20" s="116"/>
    </row>
    <row r="21" spans="1:14" s="25" customFormat="1" ht="12.75">
      <c r="A21" s="608"/>
      <c r="B21" s="1256"/>
      <c r="C21" s="1256"/>
      <c r="D21" s="1256"/>
      <c r="E21" s="608"/>
      <c r="F21" s="608"/>
      <c r="G21" s="609"/>
      <c r="H21" s="608"/>
      <c r="I21" s="610"/>
      <c r="J21" s="610"/>
      <c r="K21" s="116"/>
      <c r="L21" s="116"/>
      <c r="M21" s="116"/>
      <c r="N21" s="116"/>
    </row>
    <row r="22" spans="1:14" s="25" customFormat="1" ht="12.75">
      <c r="A22" s="608"/>
      <c r="B22" s="1256"/>
      <c r="C22" s="1256"/>
      <c r="D22" s="1256"/>
      <c r="E22" s="608"/>
      <c r="F22" s="608"/>
      <c r="G22" s="609"/>
      <c r="H22" s="608"/>
      <c r="I22" s="610"/>
      <c r="J22" s="610"/>
      <c r="K22" s="116"/>
      <c r="L22" s="116"/>
      <c r="M22" s="116"/>
      <c r="N22" s="116"/>
    </row>
    <row r="23" spans="1:14" s="25" customFormat="1" ht="12.75">
      <c r="A23" s="608"/>
      <c r="B23" s="1256"/>
      <c r="C23" s="1256"/>
      <c r="D23" s="1256"/>
      <c r="E23" s="608"/>
      <c r="F23" s="608"/>
      <c r="G23" s="609"/>
      <c r="H23" s="608"/>
      <c r="I23" s="610"/>
      <c r="J23" s="610"/>
      <c r="K23" s="116"/>
      <c r="L23" s="116"/>
      <c r="M23" s="116"/>
      <c r="N23" s="116"/>
    </row>
    <row r="24" spans="1:14" s="25" customFormat="1" ht="12.75">
      <c r="A24" s="608"/>
      <c r="B24" s="1256"/>
      <c r="C24" s="1256"/>
      <c r="D24" s="1256"/>
      <c r="E24" s="608"/>
      <c r="F24" s="608"/>
      <c r="G24" s="609"/>
      <c r="H24" s="608"/>
      <c r="I24" s="610"/>
      <c r="J24" s="610"/>
      <c r="K24" s="116"/>
      <c r="L24" s="116"/>
      <c r="M24" s="116"/>
      <c r="N24" s="116"/>
    </row>
    <row r="25" spans="1:14" s="25" customFormat="1" ht="12.75">
      <c r="A25" s="608"/>
      <c r="B25" s="1256"/>
      <c r="C25" s="1256"/>
      <c r="D25" s="1256"/>
      <c r="E25" s="608"/>
      <c r="F25" s="608"/>
      <c r="G25" s="609"/>
      <c r="H25" s="608"/>
      <c r="I25" s="610"/>
      <c r="J25" s="610"/>
      <c r="K25" s="116"/>
      <c r="L25" s="116"/>
      <c r="M25" s="116"/>
      <c r="N25" s="116"/>
    </row>
    <row r="26" spans="1:14" s="25" customFormat="1" ht="12.75">
      <c r="A26" s="608"/>
      <c r="B26" s="1256"/>
      <c r="C26" s="1256"/>
      <c r="D26" s="1256"/>
      <c r="E26" s="608"/>
      <c r="F26" s="608"/>
      <c r="G26" s="609"/>
      <c r="H26" s="608"/>
      <c r="I26" s="610"/>
      <c r="J26" s="610"/>
      <c r="K26" s="116"/>
      <c r="L26" s="116"/>
      <c r="M26" s="116"/>
      <c r="N26" s="116"/>
    </row>
    <row r="27" spans="1:14" s="25" customFormat="1" ht="12.75">
      <c r="A27" s="608"/>
      <c r="B27" s="1256"/>
      <c r="C27" s="1256"/>
      <c r="D27" s="1256"/>
      <c r="E27" s="608"/>
      <c r="F27" s="608"/>
      <c r="G27" s="609"/>
      <c r="H27" s="608"/>
      <c r="I27" s="610"/>
      <c r="J27" s="610"/>
      <c r="K27" s="116"/>
      <c r="L27" s="116"/>
      <c r="M27" s="116"/>
      <c r="N27" s="116"/>
    </row>
    <row r="28" spans="1:14" s="25" customFormat="1" ht="12.75">
      <c r="A28" s="608"/>
      <c r="B28" s="1256"/>
      <c r="C28" s="1256"/>
      <c r="D28" s="1256"/>
      <c r="E28" s="608"/>
      <c r="F28" s="608"/>
      <c r="G28" s="609"/>
      <c r="H28" s="608"/>
      <c r="I28" s="610"/>
      <c r="J28" s="610"/>
      <c r="K28" s="116"/>
      <c r="L28" s="116"/>
      <c r="M28" s="116"/>
      <c r="N28" s="116"/>
    </row>
    <row r="29" spans="1:9" ht="12.75">
      <c r="A29" s="49"/>
      <c r="B29" s="49"/>
      <c r="C29" s="50"/>
      <c r="D29" s="50"/>
      <c r="E29" s="50"/>
      <c r="F29" s="50"/>
      <c r="G29" s="50"/>
      <c r="H29" s="50"/>
      <c r="I29" s="49"/>
    </row>
    <row r="30" spans="1:11" s="49" customFormat="1" ht="12.75">
      <c r="A30" s="708" t="s">
        <v>564</v>
      </c>
      <c r="B30" s="708"/>
      <c r="C30" s="1"/>
      <c r="D30" s="7"/>
      <c r="E30" s="224"/>
      <c r="F30" s="224"/>
      <c r="G30" s="224"/>
      <c r="H30" s="224"/>
      <c r="I30" s="224"/>
      <c r="J30" s="224"/>
      <c r="K30" s="353"/>
    </row>
    <row r="31" spans="1:11" s="49" customFormat="1" ht="15.75" customHeight="1">
      <c r="A31" s="1014" t="str">
        <f>CONCATENATE('Заявка стр. 1'!B4)</f>
        <v>АО "Научно-производственный центр "Вигстар"</v>
      </c>
      <c r="B31" s="1014"/>
      <c r="C31" s="1014"/>
      <c r="D31" s="1014"/>
      <c r="E31" s="1014"/>
      <c r="F31" s="1014"/>
      <c r="G31" s="1014"/>
      <c r="H31" s="1014"/>
      <c r="I31" s="1014"/>
      <c r="J31" s="1"/>
      <c r="K31" s="7"/>
    </row>
    <row r="32" spans="1:25" s="49" customFormat="1" ht="12.75">
      <c r="A32" s="803" t="str">
        <f>CONCATENATE('Заявка стр. 1'!B17)</f>
        <v>Заместитель генерального директора по экономике и финансам</v>
      </c>
      <c r="B32" s="803"/>
      <c r="C32" s="803"/>
      <c r="D32" s="803"/>
      <c r="E32" s="803"/>
      <c r="F32" s="803"/>
      <c r="G32" s="803"/>
      <c r="H32" s="144"/>
      <c r="I32" s="144"/>
      <c r="J32" s="144"/>
      <c r="K32" s="144"/>
      <c r="O32"/>
      <c r="P32"/>
      <c r="Q32"/>
      <c r="R32"/>
      <c r="S32"/>
      <c r="T32"/>
      <c r="U32"/>
      <c r="V32"/>
      <c r="W32"/>
      <c r="X32"/>
      <c r="Y32"/>
    </row>
    <row r="33" spans="1:25" s="49" customFormat="1" ht="12.75">
      <c r="A33" s="1127" t="str">
        <f>CONCATENATE('Заявка стр. 1'!A19)</f>
        <v>Короткевич Олег Иосифович</v>
      </c>
      <c r="B33" s="1127"/>
      <c r="C33" s="1127"/>
      <c r="D33" s="1127"/>
      <c r="E33" s="312"/>
      <c r="F33" s="312"/>
      <c r="H33" s="820" t="s">
        <v>260</v>
      </c>
      <c r="I33" s="820"/>
      <c r="J33" s="820"/>
      <c r="O33"/>
      <c r="P33"/>
      <c r="Q33"/>
      <c r="R33"/>
      <c r="S33"/>
      <c r="T33"/>
      <c r="U33"/>
      <c r="V33"/>
      <c r="W33"/>
      <c r="X33"/>
      <c r="Y33"/>
    </row>
    <row r="34" spans="1:25" s="49" customFormat="1" ht="12.75">
      <c r="A34" s="43"/>
      <c r="B34" s="43"/>
      <c r="C34" s="313"/>
      <c r="D34" s="1253" t="s">
        <v>991</v>
      </c>
      <c r="E34" s="1253"/>
      <c r="F34" s="1253"/>
      <c r="G34" s="314"/>
      <c r="H34" s="314"/>
      <c r="I34" s="314"/>
      <c r="J34" s="144"/>
      <c r="K34" s="144"/>
      <c r="O34"/>
      <c r="P34"/>
      <c r="Q34"/>
      <c r="R34"/>
      <c r="S34"/>
      <c r="T34"/>
      <c r="U34"/>
      <c r="V34"/>
      <c r="W34"/>
      <c r="X34"/>
      <c r="Y34"/>
    </row>
    <row r="35" spans="4:25" s="49" customFormat="1" ht="12.75">
      <c r="D35" s="39"/>
      <c r="F35" s="39"/>
      <c r="G35" s="40"/>
      <c r="O35"/>
      <c r="P35"/>
      <c r="Q35"/>
      <c r="R35"/>
      <c r="S35"/>
      <c r="T35"/>
      <c r="U35"/>
      <c r="V35"/>
      <c r="W35"/>
      <c r="X35"/>
      <c r="Y35"/>
    </row>
    <row r="36" spans="15:25" s="49" customFormat="1" ht="12.75">
      <c r="O36"/>
      <c r="P36"/>
      <c r="Q36"/>
      <c r="R36"/>
      <c r="S36"/>
      <c r="T36"/>
      <c r="U36"/>
      <c r="V36"/>
      <c r="W36"/>
      <c r="X36"/>
      <c r="Y36"/>
    </row>
    <row r="37" spans="15:25" s="49" customFormat="1" ht="12.75">
      <c r="O37"/>
      <c r="P37"/>
      <c r="Q37"/>
      <c r="R37"/>
      <c r="S37"/>
      <c r="T37"/>
      <c r="U37"/>
      <c r="V37"/>
      <c r="W37"/>
      <c r="X37"/>
      <c r="Y37"/>
    </row>
    <row r="38" spans="15:25" s="49" customFormat="1" ht="12.75">
      <c r="O38"/>
      <c r="P38"/>
      <c r="Q38"/>
      <c r="R38"/>
      <c r="S38"/>
      <c r="T38"/>
      <c r="U38"/>
      <c r="V38"/>
      <c r="W38"/>
      <c r="X38"/>
      <c r="Y38"/>
    </row>
    <row r="39" spans="15:25" s="49" customFormat="1" ht="12.75">
      <c r="O39"/>
      <c r="P39"/>
      <c r="Q39"/>
      <c r="R39"/>
      <c r="S39"/>
      <c r="T39"/>
      <c r="U39"/>
      <c r="V39"/>
      <c r="W39"/>
      <c r="X39"/>
      <c r="Y39"/>
    </row>
    <row r="40" spans="15:25" s="49" customFormat="1" ht="12.75">
      <c r="O40"/>
      <c r="P40"/>
      <c r="Q40"/>
      <c r="R40"/>
      <c r="S40"/>
      <c r="T40"/>
      <c r="U40"/>
      <c r="V40"/>
      <c r="W40"/>
      <c r="X40"/>
      <c r="Y40"/>
    </row>
    <row r="41" spans="15:25" s="49" customFormat="1" ht="12.75">
      <c r="O41"/>
      <c r="P41"/>
      <c r="Q41"/>
      <c r="R41"/>
      <c r="S41"/>
      <c r="T41"/>
      <c r="U41"/>
      <c r="V41"/>
      <c r="W41"/>
      <c r="X41"/>
      <c r="Y41"/>
    </row>
    <row r="42" spans="15:25" s="49" customFormat="1" ht="12.75">
      <c r="O42"/>
      <c r="P42"/>
      <c r="Q42"/>
      <c r="R42"/>
      <c r="S42"/>
      <c r="T42"/>
      <c r="U42"/>
      <c r="V42"/>
      <c r="W42"/>
      <c r="X42"/>
      <c r="Y42"/>
    </row>
    <row r="43" spans="15:25" s="49" customFormat="1" ht="12.75">
      <c r="O43"/>
      <c r="P43"/>
      <c r="Q43"/>
      <c r="R43"/>
      <c r="S43"/>
      <c r="T43"/>
      <c r="U43"/>
      <c r="V43"/>
      <c r="W43"/>
      <c r="X43"/>
      <c r="Y43"/>
    </row>
    <row r="44" spans="15:25" s="49" customFormat="1" ht="12.75">
      <c r="O44"/>
      <c r="P44"/>
      <c r="Q44"/>
      <c r="R44"/>
      <c r="S44"/>
      <c r="T44"/>
      <c r="U44"/>
      <c r="V44"/>
      <c r="W44"/>
      <c r="X44"/>
      <c r="Y44"/>
    </row>
    <row r="45" spans="15:25" s="49" customFormat="1" ht="12.75">
      <c r="O45"/>
      <c r="P45"/>
      <c r="Q45"/>
      <c r="R45"/>
      <c r="S45"/>
      <c r="T45"/>
      <c r="U45"/>
      <c r="V45"/>
      <c r="W45"/>
      <c r="X45"/>
      <c r="Y45"/>
    </row>
    <row r="46" spans="15:25" s="49" customFormat="1" ht="12.75">
      <c r="O46"/>
      <c r="P46"/>
      <c r="Q46"/>
      <c r="R46"/>
      <c r="S46"/>
      <c r="T46"/>
      <c r="U46"/>
      <c r="V46"/>
      <c r="W46"/>
      <c r="X46"/>
      <c r="Y46"/>
    </row>
    <row r="47" spans="15:25" s="49" customFormat="1" ht="12.75">
      <c r="O47"/>
      <c r="P47"/>
      <c r="Q47"/>
      <c r="R47"/>
      <c r="S47"/>
      <c r="T47"/>
      <c r="U47"/>
      <c r="V47"/>
      <c r="W47"/>
      <c r="X47"/>
      <c r="Y47"/>
    </row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.75"/>
  </sheetData>
  <sheetProtection password="CC03" sheet="1" objects="1" scenarios="1" formatCells="0" formatColumns="0" formatRows="0" insertRows="0" selectLockedCells="1"/>
  <mergeCells count="44">
    <mergeCell ref="F14:F15"/>
    <mergeCell ref="J14:J15"/>
    <mergeCell ref="G14:G15"/>
    <mergeCell ref="H14:H15"/>
    <mergeCell ref="I14:I15"/>
    <mergeCell ref="A14:A15"/>
    <mergeCell ref="E14:E15"/>
    <mergeCell ref="A7:C7"/>
    <mergeCell ref="B9:C9"/>
    <mergeCell ref="B5:C5"/>
    <mergeCell ref="B11:C11"/>
    <mergeCell ref="A1:B1"/>
    <mergeCell ref="C2:D2"/>
    <mergeCell ref="G3:H3"/>
    <mergeCell ref="I3:J3"/>
    <mergeCell ref="E1:F3"/>
    <mergeCell ref="H1:J1"/>
    <mergeCell ref="G2:J2"/>
    <mergeCell ref="A2:B2"/>
    <mergeCell ref="C3:D3"/>
    <mergeCell ref="B21:D21"/>
    <mergeCell ref="B22:D22"/>
    <mergeCell ref="B14:D15"/>
    <mergeCell ref="B16:D16"/>
    <mergeCell ref="B17:D17"/>
    <mergeCell ref="B18:D18"/>
    <mergeCell ref="B19:D19"/>
    <mergeCell ref="B20:D20"/>
    <mergeCell ref="B27:D27"/>
    <mergeCell ref="B28:D28"/>
    <mergeCell ref="B23:D23"/>
    <mergeCell ref="B24:D24"/>
    <mergeCell ref="B25:D25"/>
    <mergeCell ref="B26:D26"/>
    <mergeCell ref="D34:F34"/>
    <mergeCell ref="E5:H7"/>
    <mergeCell ref="E9:H9"/>
    <mergeCell ref="E11:H11"/>
    <mergeCell ref="A13:J13"/>
    <mergeCell ref="A30:B30"/>
    <mergeCell ref="A31:I31"/>
    <mergeCell ref="A32:G32"/>
    <mergeCell ref="A33:D33"/>
    <mergeCell ref="H33:J33"/>
  </mergeCells>
  <conditionalFormatting sqref="K30">
    <cfRule type="expression" priority="1" dxfId="67" stopIfTrue="1">
      <formula>OR($J$39&gt;0,$J$41&gt;0,$K$34&gt;0,$K$24&gt;0,$J$15&gt;0,$J$16&gt;0)</formula>
    </cfRule>
    <cfRule type="expression" priority="2" dxfId="65" stopIfTrue="1">
      <formula>AND($J$14&lt;9,$J$17&lt;9)</formula>
    </cfRule>
  </conditionalFormatting>
  <conditionalFormatting sqref="J5 J9 J7 J11">
    <cfRule type="cellIs" priority="3" dxfId="65" operator="equal" stopIfTrue="1">
      <formula>0</formula>
    </cfRule>
  </conditionalFormatting>
  <printOptions horizontalCentered="1"/>
  <pageMargins left="0.7874015748031497" right="0.3937007874015748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X57"/>
  <sheetViews>
    <sheetView zoomScale="115" zoomScaleNormal="115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00390625" style="0" customWidth="1"/>
    <col min="2" max="3" width="11.125" style="0" customWidth="1"/>
    <col min="4" max="4" width="24.125" style="0" customWidth="1"/>
    <col min="5" max="5" width="8.625" style="0" customWidth="1"/>
    <col min="6" max="6" width="18.375" style="0" customWidth="1"/>
    <col min="7" max="7" width="12.625" style="0" customWidth="1"/>
    <col min="8" max="8" width="14.125" style="0" customWidth="1"/>
    <col min="9" max="9" width="9.375" style="0" customWidth="1"/>
    <col min="10" max="10" width="19.375" style="0" customWidth="1"/>
    <col min="11" max="17" width="9.125" style="49" customWidth="1"/>
  </cols>
  <sheetData>
    <row r="1" spans="1:11" ht="21" customHeight="1">
      <c r="A1" s="1272" t="s">
        <v>937</v>
      </c>
      <c r="B1" s="1272"/>
      <c r="C1" s="1272"/>
      <c r="D1" s="1272"/>
      <c r="E1" s="94"/>
      <c r="F1" s="1258" t="s">
        <v>938</v>
      </c>
      <c r="G1" s="1009" t="s">
        <v>183</v>
      </c>
      <c r="H1" s="1009"/>
      <c r="I1" s="1009"/>
      <c r="J1" s="1009"/>
      <c r="K1" s="54"/>
    </row>
    <row r="2" spans="1:10" ht="23.25" customHeight="1">
      <c r="A2" s="1004" t="s">
        <v>696</v>
      </c>
      <c r="B2" s="1004"/>
      <c r="C2" s="1004" t="s">
        <v>459</v>
      </c>
      <c r="D2" s="1004"/>
      <c r="E2" s="127"/>
      <c r="F2" s="1258"/>
      <c r="G2" s="1009"/>
      <c r="H2" s="1009"/>
      <c r="I2" s="1009"/>
      <c r="J2" s="1009"/>
    </row>
    <row r="3" spans="1:10" ht="18" customHeight="1">
      <c r="A3" s="417" t="s">
        <v>697</v>
      </c>
      <c r="B3" s="207" t="s">
        <v>522</v>
      </c>
      <c r="C3" s="1052" t="s">
        <v>257</v>
      </c>
      <c r="D3" s="1052"/>
      <c r="E3" s="355"/>
      <c r="F3" s="1259"/>
      <c r="G3" s="207"/>
      <c r="H3" s="208" t="s">
        <v>122</v>
      </c>
      <c r="I3" s="1037" t="s">
        <v>170</v>
      </c>
      <c r="J3" s="1037"/>
    </row>
    <row r="4" spans="1:22" s="1" customFormat="1" ht="3.75" customHeight="1">
      <c r="A4" s="31"/>
      <c r="B4" s="34"/>
      <c r="C4" s="152"/>
      <c r="D4" s="152"/>
      <c r="E4" s="152"/>
      <c r="F4" s="152"/>
      <c r="G4" s="177"/>
      <c r="H4" s="149"/>
      <c r="I4" s="149"/>
      <c r="J4" s="149"/>
      <c r="K4" s="149"/>
      <c r="L4" s="52"/>
      <c r="M4" s="52"/>
      <c r="N4" s="7"/>
      <c r="O4" s="22"/>
      <c r="P4" s="22"/>
      <c r="Q4" s="22"/>
      <c r="R4" s="7"/>
      <c r="S4" s="7"/>
      <c r="T4" s="7"/>
      <c r="U4" s="7"/>
      <c r="V4" s="7"/>
    </row>
    <row r="5" spans="1:22" s="1" customFormat="1" ht="12" customHeight="1">
      <c r="A5" s="315" t="s">
        <v>121</v>
      </c>
      <c r="B5" s="721" t="s">
        <v>1043</v>
      </c>
      <c r="C5" s="721"/>
      <c r="D5" s="155" t="s">
        <v>564</v>
      </c>
      <c r="E5" s="1004" t="str">
        <f>CONCATENATE('Заявка стр. 1'!B3)</f>
        <v>АО "Научно-производственный центр "Вигстар"</v>
      </c>
      <c r="F5" s="1004"/>
      <c r="G5" s="1004"/>
      <c r="H5" s="1004"/>
      <c r="I5" s="686" t="s">
        <v>271</v>
      </c>
      <c r="J5" s="291"/>
      <c r="K5" s="7"/>
      <c r="L5" s="7"/>
      <c r="M5" s="7"/>
      <c r="N5" s="161"/>
      <c r="O5" s="7"/>
      <c r="P5" s="7"/>
      <c r="Q5" s="7"/>
      <c r="R5" s="7"/>
      <c r="S5" s="7"/>
      <c r="T5" s="7"/>
      <c r="U5" s="7"/>
      <c r="V5" s="7"/>
    </row>
    <row r="6" spans="1:14" s="7" customFormat="1" ht="2.25" customHeight="1">
      <c r="A6" s="193"/>
      <c r="B6" s="194"/>
      <c r="C6" s="165"/>
      <c r="D6" s="155"/>
      <c r="E6" s="1004"/>
      <c r="F6" s="1004"/>
      <c r="G6" s="1004"/>
      <c r="H6" s="1004"/>
      <c r="I6" s="161"/>
      <c r="J6" s="157"/>
      <c r="N6" s="161"/>
    </row>
    <row r="7" spans="1:22" s="1" customFormat="1" ht="12" customHeight="1">
      <c r="A7" s="1112" t="s">
        <v>817</v>
      </c>
      <c r="B7" s="1112"/>
      <c r="C7" s="1112"/>
      <c r="D7" s="174"/>
      <c r="E7" s="1254"/>
      <c r="F7" s="1254"/>
      <c r="G7" s="1254"/>
      <c r="H7" s="1254"/>
      <c r="I7" s="153" t="s">
        <v>713</v>
      </c>
      <c r="J7" s="291">
        <v>0</v>
      </c>
      <c r="K7" s="7"/>
      <c r="L7" s="7"/>
      <c r="M7" s="7"/>
      <c r="N7" s="161"/>
      <c r="O7" s="7"/>
      <c r="P7" s="7"/>
      <c r="Q7" s="7"/>
      <c r="R7" s="7"/>
      <c r="S7" s="7"/>
      <c r="T7" s="7"/>
      <c r="U7" s="7"/>
      <c r="V7" s="7"/>
    </row>
    <row r="8" spans="1:14" s="7" customFormat="1" ht="2.25" customHeight="1">
      <c r="A8" s="166"/>
      <c r="B8" s="164"/>
      <c r="C8" s="167"/>
      <c r="D8" s="157"/>
      <c r="I8" s="154"/>
      <c r="J8" s="180"/>
      <c r="N8" s="161"/>
    </row>
    <row r="9" spans="1:22" s="1" customFormat="1" ht="12" customHeight="1">
      <c r="A9" s="170" t="s">
        <v>982</v>
      </c>
      <c r="B9" s="724" t="s">
        <v>182</v>
      </c>
      <c r="C9" s="724"/>
      <c r="D9" s="155" t="s">
        <v>977</v>
      </c>
      <c r="E9" s="1280" t="str">
        <f>'Ф.1'!E9</f>
        <v>Симонова Наталья Владимировна</v>
      </c>
      <c r="F9" s="1280"/>
      <c r="G9" s="1280"/>
      <c r="H9" s="1280"/>
      <c r="I9" s="153" t="s">
        <v>979</v>
      </c>
      <c r="J9" s="291">
        <v>0</v>
      </c>
      <c r="K9" s="7"/>
      <c r="L9" s="7"/>
      <c r="M9" s="7"/>
      <c r="N9" s="161"/>
      <c r="O9" s="7"/>
      <c r="P9" s="7"/>
      <c r="Q9" s="7"/>
      <c r="R9" s="7"/>
      <c r="S9" s="7"/>
      <c r="T9" s="7"/>
      <c r="U9" s="7"/>
      <c r="V9" s="7"/>
    </row>
    <row r="10" spans="1:14" s="7" customFormat="1" ht="2.25" customHeight="1">
      <c r="A10" s="166"/>
      <c r="B10" s="164"/>
      <c r="C10" s="164"/>
      <c r="D10" s="160"/>
      <c r="I10" s="154"/>
      <c r="J10" s="180"/>
      <c r="N10" s="161"/>
    </row>
    <row r="11" spans="1:22" s="1" customFormat="1" ht="12" customHeight="1">
      <c r="A11" s="170" t="s">
        <v>595</v>
      </c>
      <c r="B11" s="1162" t="s">
        <v>58</v>
      </c>
      <c r="C11" s="1239"/>
      <c r="D11" s="173" t="s">
        <v>978</v>
      </c>
      <c r="E11" s="871" t="s">
        <v>1014</v>
      </c>
      <c r="F11" s="871"/>
      <c r="G11" s="871"/>
      <c r="H11" s="871"/>
      <c r="I11" s="153"/>
      <c r="J11" s="180"/>
      <c r="L11" s="7"/>
      <c r="M11" s="7"/>
      <c r="N11" s="161"/>
      <c r="O11" s="7"/>
      <c r="P11" s="7"/>
      <c r="Q11" s="7"/>
      <c r="R11" s="7"/>
      <c r="S11" s="7"/>
      <c r="T11" s="7"/>
      <c r="U11" s="7"/>
      <c r="V11" s="7"/>
    </row>
    <row r="12" spans="1:22" s="1" customFormat="1" ht="4.5" customHeight="1">
      <c r="A12" s="203"/>
      <c r="B12" s="204"/>
      <c r="C12" s="204"/>
      <c r="D12" s="204"/>
      <c r="E12" s="203"/>
      <c r="F12" s="205"/>
      <c r="G12" s="202"/>
      <c r="H12" s="202"/>
      <c r="I12" s="213"/>
      <c r="J12" s="202"/>
      <c r="K12" s="182"/>
      <c r="L12" s="153"/>
      <c r="M12" s="180"/>
      <c r="N12" s="161"/>
      <c r="O12" s="22"/>
      <c r="P12" s="22"/>
      <c r="Q12" s="70"/>
      <c r="R12" s="7"/>
      <c r="S12" s="7"/>
      <c r="T12" s="7"/>
      <c r="U12" s="7"/>
      <c r="V12" s="7"/>
    </row>
    <row r="13" spans="1:10" ht="36.75" customHeight="1">
      <c r="A13" s="1273" t="s">
        <v>523</v>
      </c>
      <c r="B13" s="1273"/>
      <c r="C13" s="1273"/>
      <c r="D13" s="1273"/>
      <c r="E13" s="1273"/>
      <c r="F13" s="1273"/>
      <c r="G13" s="1273"/>
      <c r="H13" s="1273"/>
      <c r="I13" s="1273"/>
      <c r="J13" s="1273"/>
    </row>
    <row r="14" spans="1:17" ht="33" customHeight="1">
      <c r="A14" s="595" t="s">
        <v>675</v>
      </c>
      <c r="B14" s="1274" t="s">
        <v>1044</v>
      </c>
      <c r="C14" s="1275"/>
      <c r="D14" s="1275"/>
      <c r="E14" s="1276"/>
      <c r="F14" s="596" t="s">
        <v>883</v>
      </c>
      <c r="G14" s="1274" t="s">
        <v>1045</v>
      </c>
      <c r="H14" s="1276"/>
      <c r="I14" s="1257" t="s">
        <v>948</v>
      </c>
      <c r="J14" s="1257"/>
      <c r="P14"/>
      <c r="Q14"/>
    </row>
    <row r="15" spans="1:15" s="599" customFormat="1" ht="12.75">
      <c r="A15" s="597">
        <v>1</v>
      </c>
      <c r="B15" s="1269">
        <v>2</v>
      </c>
      <c r="C15" s="1270"/>
      <c r="D15" s="1270"/>
      <c r="E15" s="1271"/>
      <c r="F15" s="597">
        <v>3</v>
      </c>
      <c r="G15" s="1269">
        <v>4</v>
      </c>
      <c r="H15" s="1271"/>
      <c r="I15" s="1281">
        <v>5</v>
      </c>
      <c r="J15" s="1281"/>
      <c r="K15" s="598"/>
      <c r="L15" s="598"/>
      <c r="M15" s="598"/>
      <c r="N15" s="598"/>
      <c r="O15" s="598"/>
    </row>
    <row r="16" spans="1:15" s="25" customFormat="1" ht="15" customHeight="1">
      <c r="A16" s="421"/>
      <c r="B16" s="1264"/>
      <c r="C16" s="1268"/>
      <c r="D16" s="1268"/>
      <c r="E16" s="1265"/>
      <c r="F16" s="421"/>
      <c r="G16" s="1264"/>
      <c r="H16" s="1265"/>
      <c r="I16" s="1282"/>
      <c r="J16" s="1282"/>
      <c r="K16" s="116"/>
      <c r="L16" s="116"/>
      <c r="M16" s="116"/>
      <c r="N16" s="116"/>
      <c r="O16" s="116"/>
    </row>
    <row r="17" spans="1:15" s="25" customFormat="1" ht="14.25" customHeight="1">
      <c r="A17" s="421"/>
      <c r="B17" s="1264"/>
      <c r="C17" s="1268"/>
      <c r="D17" s="1268"/>
      <c r="E17" s="1265"/>
      <c r="F17" s="421"/>
      <c r="G17" s="1264"/>
      <c r="H17" s="1265"/>
      <c r="I17" s="1282"/>
      <c r="J17" s="1282"/>
      <c r="K17" s="116"/>
      <c r="L17" s="116"/>
      <c r="M17" s="116"/>
      <c r="N17" s="116"/>
      <c r="O17" s="116"/>
    </row>
    <row r="18" spans="1:15" s="25" customFormat="1" ht="12.75">
      <c r="A18" s="421"/>
      <c r="B18" s="1264"/>
      <c r="C18" s="1268"/>
      <c r="D18" s="1268"/>
      <c r="E18" s="1265"/>
      <c r="F18" s="421"/>
      <c r="G18" s="1264"/>
      <c r="H18" s="1265"/>
      <c r="I18" s="1282"/>
      <c r="J18" s="1282"/>
      <c r="K18" s="116"/>
      <c r="L18" s="116"/>
      <c r="M18" s="116"/>
      <c r="N18" s="116"/>
      <c r="O18" s="116"/>
    </row>
    <row r="19" spans="1:15" s="25" customFormat="1" ht="12.75">
      <c r="A19" s="421"/>
      <c r="B19" s="1264"/>
      <c r="C19" s="1268"/>
      <c r="D19" s="1268"/>
      <c r="E19" s="1265"/>
      <c r="F19" s="421"/>
      <c r="G19" s="1264"/>
      <c r="H19" s="1265"/>
      <c r="I19" s="1266"/>
      <c r="J19" s="1267"/>
      <c r="K19" s="116"/>
      <c r="L19" s="116"/>
      <c r="M19" s="116"/>
      <c r="N19" s="116"/>
      <c r="O19" s="116"/>
    </row>
    <row r="20" spans="1:15" s="25" customFormat="1" ht="12.75">
      <c r="A20" s="421"/>
      <c r="B20" s="1264"/>
      <c r="C20" s="1268"/>
      <c r="D20" s="1268"/>
      <c r="E20" s="1265"/>
      <c r="F20" s="421"/>
      <c r="G20" s="1264"/>
      <c r="H20" s="1265"/>
      <c r="I20" s="1266"/>
      <c r="J20" s="1267"/>
      <c r="K20" s="116"/>
      <c r="L20" s="116"/>
      <c r="M20" s="116"/>
      <c r="N20" s="116"/>
      <c r="O20" s="116"/>
    </row>
    <row r="21" spans="1:15" s="25" customFormat="1" ht="12.75">
      <c r="A21" s="421"/>
      <c r="B21" s="1264"/>
      <c r="C21" s="1268"/>
      <c r="D21" s="1268"/>
      <c r="E21" s="1265"/>
      <c r="F21" s="421"/>
      <c r="G21" s="1264"/>
      <c r="H21" s="1265"/>
      <c r="I21" s="1266"/>
      <c r="J21" s="1267"/>
      <c r="K21" s="116"/>
      <c r="L21" s="116"/>
      <c r="M21" s="116"/>
      <c r="N21" s="116"/>
      <c r="O21" s="116"/>
    </row>
    <row r="22" spans="1:15" s="25" customFormat="1" ht="12.75">
      <c r="A22" s="421"/>
      <c r="B22" s="1264"/>
      <c r="C22" s="1268"/>
      <c r="D22" s="1268"/>
      <c r="E22" s="1265"/>
      <c r="F22" s="421"/>
      <c r="G22" s="1264"/>
      <c r="H22" s="1265"/>
      <c r="I22" s="1266"/>
      <c r="J22" s="1267"/>
      <c r="K22" s="116"/>
      <c r="L22" s="116"/>
      <c r="M22" s="116"/>
      <c r="N22" s="116"/>
      <c r="O22" s="116"/>
    </row>
    <row r="23" spans="1:15" s="25" customFormat="1" ht="12.75">
      <c r="A23" s="421"/>
      <c r="B23" s="1264"/>
      <c r="C23" s="1268"/>
      <c r="D23" s="1268"/>
      <c r="E23" s="1265"/>
      <c r="F23" s="421"/>
      <c r="G23" s="1264"/>
      <c r="H23" s="1265"/>
      <c r="I23" s="1266"/>
      <c r="J23" s="1267"/>
      <c r="K23" s="116"/>
      <c r="L23" s="116"/>
      <c r="M23" s="116"/>
      <c r="N23" s="116"/>
      <c r="O23" s="116"/>
    </row>
    <row r="24" spans="1:15" s="25" customFormat="1" ht="12.75">
      <c r="A24" s="421"/>
      <c r="B24" s="1264"/>
      <c r="C24" s="1268"/>
      <c r="D24" s="1268"/>
      <c r="E24" s="1265"/>
      <c r="F24" s="421"/>
      <c r="G24" s="1264"/>
      <c r="H24" s="1265"/>
      <c r="I24" s="1266"/>
      <c r="J24" s="1267"/>
      <c r="K24" s="116"/>
      <c r="L24" s="116"/>
      <c r="M24" s="116"/>
      <c r="N24" s="116"/>
      <c r="O24" s="116"/>
    </row>
    <row r="25" spans="1:15" s="25" customFormat="1" ht="12.75">
      <c r="A25" s="421"/>
      <c r="B25" s="1264"/>
      <c r="C25" s="1268"/>
      <c r="D25" s="1268"/>
      <c r="E25" s="1265"/>
      <c r="F25" s="421"/>
      <c r="G25" s="1264"/>
      <c r="H25" s="1265"/>
      <c r="I25" s="1266"/>
      <c r="J25" s="1267"/>
      <c r="K25" s="116"/>
      <c r="L25" s="116"/>
      <c r="M25" s="116"/>
      <c r="N25" s="116"/>
      <c r="O25" s="116"/>
    </row>
    <row r="26" spans="1:15" s="25" customFormat="1" ht="12.75">
      <c r="A26" s="421"/>
      <c r="B26" s="1264"/>
      <c r="C26" s="1268"/>
      <c r="D26" s="1268"/>
      <c r="E26" s="1265"/>
      <c r="F26" s="421"/>
      <c r="G26" s="1264"/>
      <c r="H26" s="1265"/>
      <c r="I26" s="1266"/>
      <c r="J26" s="1267"/>
      <c r="K26" s="116"/>
      <c r="L26" s="116"/>
      <c r="M26" s="116"/>
      <c r="N26" s="116"/>
      <c r="O26" s="116"/>
    </row>
    <row r="27" spans="1:15" s="25" customFormat="1" ht="12.75">
      <c r="A27" s="421"/>
      <c r="B27" s="1264"/>
      <c r="C27" s="1268"/>
      <c r="D27" s="1268"/>
      <c r="E27" s="1265"/>
      <c r="F27" s="421"/>
      <c r="G27" s="1264"/>
      <c r="H27" s="1265"/>
      <c r="I27" s="1266"/>
      <c r="J27" s="1267"/>
      <c r="K27" s="116"/>
      <c r="L27" s="116"/>
      <c r="M27" s="116"/>
      <c r="N27" s="116"/>
      <c r="O27" s="116"/>
    </row>
    <row r="28" spans="1:10" ht="9" customHeight="1">
      <c r="A28" s="50"/>
      <c r="B28" s="50"/>
      <c r="C28" s="50"/>
      <c r="D28" s="50"/>
      <c r="E28" s="50"/>
      <c r="F28" s="50"/>
      <c r="G28" s="50"/>
      <c r="H28" s="50"/>
      <c r="I28" s="49"/>
      <c r="J28" s="49"/>
    </row>
    <row r="29" spans="1:10" ht="12.75">
      <c r="A29" s="708" t="s">
        <v>564</v>
      </c>
      <c r="B29" s="708"/>
      <c r="C29" s="1"/>
      <c r="D29" s="7"/>
      <c r="E29" s="224"/>
      <c r="F29" s="224"/>
      <c r="G29" s="224"/>
      <c r="H29" s="224"/>
      <c r="I29" s="224"/>
      <c r="J29" s="224"/>
    </row>
    <row r="30" spans="1:10" ht="15.75" customHeight="1">
      <c r="A30" s="1014" t="str">
        <f>CONCATENATE('Заявка стр. 1'!B3)</f>
        <v>АО "Научно-производственный центр "Вигстар"</v>
      </c>
      <c r="B30" s="1014"/>
      <c r="C30" s="1014"/>
      <c r="D30" s="1014"/>
      <c r="E30" s="1014"/>
      <c r="F30" s="1014"/>
      <c r="G30" s="1014"/>
      <c r="H30" s="1014"/>
      <c r="I30" s="1014"/>
      <c r="J30" s="1"/>
    </row>
    <row r="31" spans="1:10" ht="12.75">
      <c r="A31" s="803" t="str">
        <f>CONCATENATE('Заявка стр. 1'!B17)</f>
        <v>Заместитель генерального директора по экономике и финансам</v>
      </c>
      <c r="B31" s="803"/>
      <c r="C31" s="803"/>
      <c r="D31" s="803"/>
      <c r="E31" s="803"/>
      <c r="F31" s="803"/>
      <c r="G31" s="803"/>
      <c r="H31" s="144"/>
      <c r="I31" s="144"/>
      <c r="J31" s="144"/>
    </row>
    <row r="32" spans="1:10" ht="12.75">
      <c r="A32" s="1127" t="str">
        <f>CONCATENATE('Заявка стр. 1'!A19)</f>
        <v>Короткевич Олег Иосифович</v>
      </c>
      <c r="B32" s="1127"/>
      <c r="C32" s="1127"/>
      <c r="D32" s="1127"/>
      <c r="E32" s="312"/>
      <c r="F32" s="312"/>
      <c r="G32" s="49"/>
      <c r="H32" s="820" t="s">
        <v>260</v>
      </c>
      <c r="I32" s="820"/>
      <c r="J32" s="820"/>
    </row>
    <row r="33" spans="1:10" ht="12.75">
      <c r="A33" s="43"/>
      <c r="B33" s="43"/>
      <c r="C33" s="313"/>
      <c r="D33" s="1253" t="s">
        <v>991</v>
      </c>
      <c r="E33" s="1253"/>
      <c r="F33" s="1253"/>
      <c r="G33" s="314"/>
      <c r="H33" s="314"/>
      <c r="I33" s="314"/>
      <c r="J33" s="144"/>
    </row>
    <row r="34" spans="1:10" ht="42" customHeight="1">
      <c r="A34" s="1278" t="s">
        <v>600</v>
      </c>
      <c r="B34" s="1279"/>
      <c r="C34" s="1279"/>
      <c r="D34" s="1279"/>
      <c r="E34" s="1279"/>
      <c r="F34" s="1279"/>
      <c r="G34" s="1279"/>
      <c r="H34" s="1279"/>
      <c r="I34" s="1279"/>
      <c r="J34" s="1279"/>
    </row>
    <row r="35" spans="1:10" ht="12.75">
      <c r="A35" s="49" t="s">
        <v>601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2.75">
      <c r="A36" s="49" t="s">
        <v>602</v>
      </c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2.75">
      <c r="A37" s="49" t="s">
        <v>931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2.7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2.7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409.5" customHeight="1">
      <c r="A40" s="1277"/>
      <c r="B40" s="1277"/>
      <c r="C40" s="1277"/>
      <c r="D40" s="1277"/>
      <c r="E40" s="1277"/>
      <c r="F40" s="1277"/>
      <c r="G40" s="1277"/>
      <c r="H40" s="1277"/>
      <c r="I40" s="1277"/>
      <c r="J40" s="1277"/>
    </row>
    <row r="41" spans="1:10" ht="12.75">
      <c r="A41" s="1277"/>
      <c r="B41" s="1277"/>
      <c r="C41" s="1277"/>
      <c r="D41" s="1277"/>
      <c r="E41" s="1277"/>
      <c r="F41" s="1277"/>
      <c r="G41" s="1277"/>
      <c r="H41" s="1277"/>
      <c r="I41" s="1277"/>
      <c r="J41" s="1277"/>
    </row>
    <row r="42" spans="1:10" ht="12.75">
      <c r="A42" s="1277"/>
      <c r="B42" s="1277"/>
      <c r="C42" s="1277"/>
      <c r="D42" s="1277"/>
      <c r="E42" s="1277"/>
      <c r="F42" s="1277"/>
      <c r="G42" s="1277"/>
      <c r="H42" s="1277"/>
      <c r="I42" s="1277"/>
      <c r="J42" s="1277"/>
    </row>
    <row r="43" spans="1:10" ht="12.75">
      <c r="A43" s="1277"/>
      <c r="B43" s="1277"/>
      <c r="C43" s="1277"/>
      <c r="D43" s="1277"/>
      <c r="E43" s="1277"/>
      <c r="F43" s="1277"/>
      <c r="G43" s="1277"/>
      <c r="H43" s="1277"/>
      <c r="I43" s="1277"/>
      <c r="J43" s="1277"/>
    </row>
    <row r="44" spans="1:10" ht="12.75">
      <c r="A44" s="1277"/>
      <c r="B44" s="1277"/>
      <c r="C44" s="1277"/>
      <c r="D44" s="1277"/>
      <c r="E44" s="1277"/>
      <c r="F44" s="1277"/>
      <c r="G44" s="1277"/>
      <c r="H44" s="1277"/>
      <c r="I44" s="1277"/>
      <c r="J44" s="1277"/>
    </row>
    <row r="45" spans="1:10" ht="12.75">
      <c r="A45" s="1277"/>
      <c r="B45" s="1277"/>
      <c r="C45" s="1277"/>
      <c r="D45" s="1277"/>
      <c r="E45" s="1277"/>
      <c r="F45" s="1277"/>
      <c r="G45" s="1277"/>
      <c r="H45" s="1277"/>
      <c r="I45" s="1277"/>
      <c r="J45" s="1277"/>
    </row>
    <row r="46" spans="1:10" ht="12.75">
      <c r="A46" s="1277"/>
      <c r="B46" s="1277"/>
      <c r="C46" s="1277"/>
      <c r="D46" s="1277"/>
      <c r="E46" s="1277"/>
      <c r="F46" s="1277"/>
      <c r="G46" s="1277"/>
      <c r="H46" s="1277"/>
      <c r="I46" s="1277"/>
      <c r="J46" s="1277"/>
    </row>
    <row r="47" spans="1:10" ht="12.75">
      <c r="A47" s="1277"/>
      <c r="B47" s="1277"/>
      <c r="C47" s="1277"/>
      <c r="D47" s="1277"/>
      <c r="E47" s="1277"/>
      <c r="F47" s="1277"/>
      <c r="G47" s="1277"/>
      <c r="H47" s="1277"/>
      <c r="I47" s="1277"/>
      <c r="J47" s="1277"/>
    </row>
    <row r="48" spans="18:24" s="49" customFormat="1" ht="12.75">
      <c r="R48"/>
      <c r="S48"/>
      <c r="T48"/>
      <c r="U48"/>
      <c r="V48"/>
      <c r="W48"/>
      <c r="X48"/>
    </row>
    <row r="49" spans="18:24" s="49" customFormat="1" ht="12.75">
      <c r="R49"/>
      <c r="S49"/>
      <c r="T49"/>
      <c r="U49"/>
      <c r="V49"/>
      <c r="W49"/>
      <c r="X49"/>
    </row>
    <row r="50" spans="18:24" s="49" customFormat="1" ht="12.75">
      <c r="R50"/>
      <c r="S50"/>
      <c r="T50"/>
      <c r="U50"/>
      <c r="V50"/>
      <c r="W50"/>
      <c r="X50"/>
    </row>
    <row r="51" spans="18:24" s="49" customFormat="1" ht="12.75">
      <c r="R51"/>
      <c r="S51"/>
      <c r="T51"/>
      <c r="U51"/>
      <c r="V51"/>
      <c r="W51"/>
      <c r="X51"/>
    </row>
    <row r="52" spans="18:24" s="49" customFormat="1" ht="12.75">
      <c r="R52"/>
      <c r="S52"/>
      <c r="T52"/>
      <c r="U52"/>
      <c r="V52"/>
      <c r="W52"/>
      <c r="X52"/>
    </row>
    <row r="53" spans="18:24" s="49" customFormat="1" ht="12.75">
      <c r="R53"/>
      <c r="S53"/>
      <c r="T53"/>
      <c r="U53"/>
      <c r="V53"/>
      <c r="W53"/>
      <c r="X53"/>
    </row>
    <row r="54" spans="18:24" s="49" customFormat="1" ht="12.75">
      <c r="R54"/>
      <c r="S54"/>
      <c r="T54"/>
      <c r="U54"/>
      <c r="V54"/>
      <c r="W54"/>
      <c r="X54"/>
    </row>
    <row r="55" spans="18:24" s="49" customFormat="1" ht="12.75">
      <c r="R55"/>
      <c r="S55"/>
      <c r="T55"/>
      <c r="U55"/>
      <c r="V55"/>
      <c r="W55"/>
      <c r="X55"/>
    </row>
    <row r="56" spans="18:24" s="49" customFormat="1" ht="12.75">
      <c r="R56"/>
      <c r="S56"/>
      <c r="T56"/>
      <c r="U56"/>
      <c r="V56"/>
      <c r="W56"/>
      <c r="X56"/>
    </row>
    <row r="57" spans="18:24" s="49" customFormat="1" ht="12.75">
      <c r="R57"/>
      <c r="S57"/>
      <c r="T57"/>
      <c r="U57"/>
      <c r="V57"/>
      <c r="W57"/>
      <c r="X57"/>
    </row>
    <row r="58" s="49" customFormat="1" ht="12.75"/>
    <row r="59" s="49" customFormat="1" ht="12.75"/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</sheetData>
  <sheetProtection password="CC03" sheet="1" formatRows="0" insertRows="0" selectLockedCells="1"/>
  <mergeCells count="65">
    <mergeCell ref="I24:J24"/>
    <mergeCell ref="I25:J25"/>
    <mergeCell ref="I14:J14"/>
    <mergeCell ref="I15:J15"/>
    <mergeCell ref="I16:J16"/>
    <mergeCell ref="I17:J17"/>
    <mergeCell ref="I18:J18"/>
    <mergeCell ref="I19:J19"/>
    <mergeCell ref="I20:J20"/>
    <mergeCell ref="E11:H11"/>
    <mergeCell ref="G21:H21"/>
    <mergeCell ref="G17:H17"/>
    <mergeCell ref="G19:H19"/>
    <mergeCell ref="I23:J23"/>
    <mergeCell ref="B23:E23"/>
    <mergeCell ref="A40:J47"/>
    <mergeCell ref="A34:J34"/>
    <mergeCell ref="B20:E20"/>
    <mergeCell ref="B21:E21"/>
    <mergeCell ref="B26:E26"/>
    <mergeCell ref="G20:H20"/>
    <mergeCell ref="G23:H23"/>
    <mergeCell ref="I26:J26"/>
    <mergeCell ref="I21:J21"/>
    <mergeCell ref="I22:J22"/>
    <mergeCell ref="G24:H24"/>
    <mergeCell ref="G1:J2"/>
    <mergeCell ref="B25:E25"/>
    <mergeCell ref="B18:E18"/>
    <mergeCell ref="B19:E19"/>
    <mergeCell ref="G18:H18"/>
    <mergeCell ref="G14:H14"/>
    <mergeCell ref="G15:H15"/>
    <mergeCell ref="G16:H16"/>
    <mergeCell ref="G22:H22"/>
    <mergeCell ref="A1:D1"/>
    <mergeCell ref="A13:J13"/>
    <mergeCell ref="B14:E14"/>
    <mergeCell ref="C3:D3"/>
    <mergeCell ref="I3:J3"/>
    <mergeCell ref="F1:F3"/>
    <mergeCell ref="A2:B2"/>
    <mergeCell ref="C2:D2"/>
    <mergeCell ref="E5:H7"/>
    <mergeCell ref="E9:H9"/>
    <mergeCell ref="B5:C5"/>
    <mergeCell ref="A7:C7"/>
    <mergeCell ref="B9:C9"/>
    <mergeCell ref="B11:C11"/>
    <mergeCell ref="B27:E27"/>
    <mergeCell ref="B15:E15"/>
    <mergeCell ref="B16:E16"/>
    <mergeCell ref="B17:E17"/>
    <mergeCell ref="B22:E22"/>
    <mergeCell ref="B24:E24"/>
    <mergeCell ref="G25:H25"/>
    <mergeCell ref="G26:H26"/>
    <mergeCell ref="D33:F33"/>
    <mergeCell ref="H32:J32"/>
    <mergeCell ref="G27:H27"/>
    <mergeCell ref="A30:I30"/>
    <mergeCell ref="A31:G31"/>
    <mergeCell ref="A32:D32"/>
    <mergeCell ref="I27:J27"/>
    <mergeCell ref="A29:B29"/>
  </mergeCells>
  <conditionalFormatting sqref="J5 J7 J9 J11">
    <cfRule type="cellIs" priority="1" dxfId="65" operator="equal" stopIfTrue="1">
      <formula>0</formula>
    </cfRule>
  </conditionalFormatting>
  <hyperlinks>
    <hyperlink ref="B11" r:id="rId1" display="cctv@b95.ru"/>
  </hyperlinks>
  <printOptions horizontalCentered="1"/>
  <pageMargins left="0.6" right="0.3937007874015748" top="0.5905511811023623" bottom="0.5905511811023623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Q181"/>
  <sheetViews>
    <sheetView zoomScale="115" zoomScaleNormal="115" zoomScalePageLayoutView="0" workbookViewId="0" topLeftCell="A66">
      <selection activeCell="C103" sqref="C103"/>
    </sheetView>
  </sheetViews>
  <sheetFormatPr defaultColWidth="9.00390625" defaultRowHeight="12.75"/>
  <cols>
    <col min="1" max="1" width="1.25" style="128" customWidth="1"/>
    <col min="2" max="2" width="34.375" style="128" customWidth="1"/>
    <col min="3" max="3" width="15.625" style="128" customWidth="1"/>
    <col min="4" max="4" width="7.625" style="128" customWidth="1"/>
    <col min="5" max="5" width="6.00390625" style="128" customWidth="1"/>
    <col min="6" max="6" width="3.375" style="128" customWidth="1"/>
    <col min="7" max="7" width="24.75390625" style="128" customWidth="1"/>
    <col min="8" max="8" width="14.75390625" style="128" hidden="1" customWidth="1"/>
    <col min="9" max="17" width="9.125" style="128" customWidth="1"/>
    <col min="18" max="16384" width="9.125" style="15" customWidth="1"/>
  </cols>
  <sheetData>
    <row r="1" spans="1:8" ht="12.75">
      <c r="A1" s="759" t="s">
        <v>936</v>
      </c>
      <c r="B1" s="759"/>
      <c r="C1" s="759"/>
      <c r="D1" s="759"/>
      <c r="E1" s="759"/>
      <c r="F1" s="759"/>
      <c r="G1" s="759"/>
      <c r="H1" s="759"/>
    </row>
    <row r="2" spans="1:8" ht="27" customHeight="1">
      <c r="A2" s="760" t="str">
        <f>C78</f>
        <v>Международной выставке вооружения и оборонных технологий "ArmHiTec-2016"</v>
      </c>
      <c r="B2" s="760"/>
      <c r="C2" s="760"/>
      <c r="D2" s="760"/>
      <c r="E2" s="760"/>
      <c r="F2" s="760"/>
      <c r="G2" s="760"/>
      <c r="H2" s="760"/>
    </row>
    <row r="3" spans="1:8" ht="0.75" customHeight="1">
      <c r="A3" s="402"/>
      <c r="B3" s="402"/>
      <c r="C3" s="402"/>
      <c r="D3" s="402"/>
      <c r="E3" s="402"/>
      <c r="F3" s="402"/>
      <c r="G3" s="402"/>
      <c r="H3" s="402"/>
    </row>
    <row r="4" spans="1:8" ht="12.75">
      <c r="A4" s="403"/>
      <c r="B4" s="428" t="s">
        <v>440</v>
      </c>
      <c r="C4" s="402"/>
      <c r="D4" s="402"/>
      <c r="E4" s="402"/>
      <c r="F4" s="402"/>
      <c r="G4" s="402"/>
      <c r="H4" s="402"/>
    </row>
    <row r="5" spans="1:8" ht="0.75" customHeight="1">
      <c r="A5" s="403"/>
      <c r="B5" s="403"/>
      <c r="C5" s="402"/>
      <c r="D5" s="402"/>
      <c r="E5" s="402"/>
      <c r="F5" s="402"/>
      <c r="G5" s="402"/>
      <c r="H5" s="402"/>
    </row>
    <row r="6" spans="1:8" ht="12" customHeight="1">
      <c r="A6" s="404" t="s">
        <v>1008</v>
      </c>
      <c r="B6" s="403" t="s">
        <v>555</v>
      </c>
      <c r="C6" s="402"/>
      <c r="D6" s="402"/>
      <c r="E6" s="402"/>
      <c r="F6" s="402"/>
      <c r="G6" s="402"/>
      <c r="H6" s="402"/>
    </row>
    <row r="7" spans="1:8" ht="12" customHeight="1">
      <c r="A7" s="404"/>
      <c r="B7" s="403" t="s">
        <v>556</v>
      </c>
      <c r="C7" s="402"/>
      <c r="D7" s="402"/>
      <c r="E7" s="402"/>
      <c r="F7" s="402"/>
      <c r="G7" s="402"/>
      <c r="H7" s="402"/>
    </row>
    <row r="8" spans="1:8" ht="12" customHeight="1">
      <c r="A8" s="404" t="s">
        <v>1008</v>
      </c>
      <c r="B8" s="405" t="s">
        <v>1006</v>
      </c>
      <c r="C8" s="402"/>
      <c r="D8" s="402"/>
      <c r="E8" s="402"/>
      <c r="F8" s="402"/>
      <c r="G8" s="402"/>
      <c r="H8" s="402"/>
    </row>
    <row r="9" spans="1:8" ht="12" customHeight="1">
      <c r="A9" s="404" t="s">
        <v>1008</v>
      </c>
      <c r="B9" s="403" t="s">
        <v>717</v>
      </c>
      <c r="C9" s="402"/>
      <c r="D9" s="402"/>
      <c r="E9" s="402"/>
      <c r="F9" s="402"/>
      <c r="G9" s="402"/>
      <c r="H9" s="402"/>
    </row>
    <row r="10" spans="1:8" ht="12" customHeight="1">
      <c r="A10" s="404" t="s">
        <v>1008</v>
      </c>
      <c r="B10" s="403" t="s">
        <v>256</v>
      </c>
      <c r="C10" s="402"/>
      <c r="D10" s="402"/>
      <c r="E10" s="402"/>
      <c r="F10" s="402"/>
      <c r="G10" s="402"/>
      <c r="H10" s="402"/>
    </row>
    <row r="11" spans="1:8" ht="12" customHeight="1">
      <c r="A11" s="404" t="s">
        <v>1008</v>
      </c>
      <c r="B11" s="403" t="s">
        <v>439</v>
      </c>
      <c r="C11" s="402"/>
      <c r="D11" s="402"/>
      <c r="E11" s="402"/>
      <c r="F11" s="402"/>
      <c r="G11" s="402"/>
      <c r="H11" s="402"/>
    </row>
    <row r="12" spans="1:8" ht="12" customHeight="1">
      <c r="A12" s="404" t="s">
        <v>1008</v>
      </c>
      <c r="B12" s="403" t="s">
        <v>1002</v>
      </c>
      <c r="C12" s="402"/>
      <c r="D12" s="402"/>
      <c r="E12" s="402"/>
      <c r="F12" s="402"/>
      <c r="G12" s="402"/>
      <c r="H12" s="402"/>
    </row>
    <row r="13" spans="1:8" ht="12" customHeight="1">
      <c r="A13" s="404" t="s">
        <v>1008</v>
      </c>
      <c r="B13" s="403" t="s">
        <v>1003</v>
      </c>
      <c r="C13" s="402"/>
      <c r="D13" s="402"/>
      <c r="E13" s="402"/>
      <c r="F13" s="402"/>
      <c r="G13" s="402"/>
      <c r="H13" s="402"/>
    </row>
    <row r="14" spans="1:8" ht="12" customHeight="1">
      <c r="A14" s="404" t="s">
        <v>1008</v>
      </c>
      <c r="B14" s="403" t="s">
        <v>779</v>
      </c>
      <c r="C14" s="402"/>
      <c r="D14" s="402"/>
      <c r="E14" s="402"/>
      <c r="F14" s="402"/>
      <c r="G14" s="402"/>
      <c r="H14" s="402"/>
    </row>
    <row r="15" spans="1:8" ht="12" customHeight="1">
      <c r="A15" s="404" t="s">
        <v>1008</v>
      </c>
      <c r="B15" s="405" t="s">
        <v>441</v>
      </c>
      <c r="C15" s="402"/>
      <c r="D15" s="402"/>
      <c r="E15" s="402"/>
      <c r="F15" s="402"/>
      <c r="G15" s="402"/>
      <c r="H15" s="402"/>
    </row>
    <row r="16" spans="1:8" ht="12" customHeight="1">
      <c r="A16" s="404" t="s">
        <v>1008</v>
      </c>
      <c r="B16" s="403" t="s">
        <v>1005</v>
      </c>
      <c r="C16" s="402"/>
      <c r="D16" s="402"/>
      <c r="E16" s="402"/>
      <c r="F16" s="402"/>
      <c r="G16" s="402"/>
      <c r="H16" s="402"/>
    </row>
    <row r="17" spans="1:9" ht="12" customHeight="1">
      <c r="A17" s="404"/>
      <c r="B17" s="403" t="s">
        <v>1004</v>
      </c>
      <c r="C17" s="402"/>
      <c r="D17" s="402"/>
      <c r="E17" s="402"/>
      <c r="F17" s="402"/>
      <c r="G17" s="402"/>
      <c r="H17" s="402"/>
      <c r="I17" s="453" t="s">
        <v>545</v>
      </c>
    </row>
    <row r="18" spans="1:8" ht="1.5" customHeight="1">
      <c r="A18" s="406"/>
      <c r="B18" s="402"/>
      <c r="C18" s="402"/>
      <c r="D18" s="402"/>
      <c r="E18" s="402"/>
      <c r="F18" s="402"/>
      <c r="G18" s="402"/>
      <c r="H18" s="402"/>
    </row>
    <row r="19" spans="1:9" ht="12" customHeight="1">
      <c r="A19" s="404" t="s">
        <v>1008</v>
      </c>
      <c r="B19" s="407" t="s">
        <v>447</v>
      </c>
      <c r="C19" s="402" t="s">
        <v>448</v>
      </c>
      <c r="D19" s="402" t="s">
        <v>450</v>
      </c>
      <c r="E19" s="402"/>
      <c r="F19" s="402"/>
      <c r="G19" s="402"/>
      <c r="H19" s="402"/>
      <c r="I19" s="472" t="s">
        <v>544</v>
      </c>
    </row>
    <row r="20" spans="1:9" ht="12" customHeight="1">
      <c r="A20" s="404" t="s">
        <v>1008</v>
      </c>
      <c r="B20" s="407" t="s">
        <v>447</v>
      </c>
      <c r="C20" s="402" t="s">
        <v>449</v>
      </c>
      <c r="D20" s="402" t="s">
        <v>684</v>
      </c>
      <c r="E20" s="402"/>
      <c r="F20" s="402"/>
      <c r="G20" s="402"/>
      <c r="H20" s="402"/>
      <c r="I20" s="473"/>
    </row>
    <row r="21" spans="1:9" ht="12" customHeight="1">
      <c r="A21" s="404" t="s">
        <v>1008</v>
      </c>
      <c r="B21" s="407" t="s">
        <v>453</v>
      </c>
      <c r="C21" s="402"/>
      <c r="D21" s="402"/>
      <c r="E21" s="402"/>
      <c r="F21" s="402"/>
      <c r="G21" s="402"/>
      <c r="H21" s="402"/>
      <c r="I21" s="472"/>
    </row>
    <row r="22" spans="1:8" ht="12" customHeight="1">
      <c r="A22" s="404" t="s">
        <v>1008</v>
      </c>
      <c r="B22" s="407" t="s">
        <v>1009</v>
      </c>
      <c r="C22" s="408" t="s">
        <v>415</v>
      </c>
      <c r="D22" s="408"/>
      <c r="E22" s="408"/>
      <c r="F22" s="408"/>
      <c r="G22" s="408"/>
      <c r="H22" s="408"/>
    </row>
    <row r="23" spans="1:9" ht="12" customHeight="1">
      <c r="A23" s="404" t="s">
        <v>1008</v>
      </c>
      <c r="B23" s="407" t="s">
        <v>732</v>
      </c>
      <c r="C23" s="408" t="s">
        <v>424</v>
      </c>
      <c r="D23" s="408"/>
      <c r="E23" s="408"/>
      <c r="F23" s="408"/>
      <c r="G23" s="408"/>
      <c r="H23" s="408"/>
      <c r="I23" s="473"/>
    </row>
    <row r="24" spans="1:9" ht="12" customHeight="1">
      <c r="A24" s="404" t="s">
        <v>1008</v>
      </c>
      <c r="B24" s="407" t="s">
        <v>733</v>
      </c>
      <c r="C24" s="408" t="s">
        <v>734</v>
      </c>
      <c r="D24" s="408"/>
      <c r="E24" s="408"/>
      <c r="F24" s="408"/>
      <c r="G24" s="408"/>
      <c r="H24" s="408"/>
      <c r="I24" s="473"/>
    </row>
    <row r="25" spans="1:9" ht="12" customHeight="1">
      <c r="A25" s="404" t="s">
        <v>1008</v>
      </c>
      <c r="B25" s="407" t="s">
        <v>416</v>
      </c>
      <c r="C25" s="408" t="s">
        <v>241</v>
      </c>
      <c r="D25" s="408"/>
      <c r="E25" s="408"/>
      <c r="F25" s="408"/>
      <c r="G25" s="408"/>
      <c r="H25" s="408"/>
      <c r="I25" s="473"/>
    </row>
    <row r="26" spans="1:9" ht="12" customHeight="1">
      <c r="A26" s="404" t="s">
        <v>1008</v>
      </c>
      <c r="B26" s="407" t="s">
        <v>428</v>
      </c>
      <c r="C26" s="408" t="s">
        <v>579</v>
      </c>
      <c r="D26" s="408"/>
      <c r="E26" s="408"/>
      <c r="F26" s="408"/>
      <c r="G26" s="408"/>
      <c r="H26" s="408"/>
      <c r="I26" s="473"/>
    </row>
    <row r="27" spans="1:9" ht="12" customHeight="1">
      <c r="A27" s="404" t="s">
        <v>1008</v>
      </c>
      <c r="B27" s="407" t="s">
        <v>427</v>
      </c>
      <c r="C27" s="408" t="s">
        <v>68</v>
      </c>
      <c r="D27" s="408"/>
      <c r="E27" s="408"/>
      <c r="F27" s="408"/>
      <c r="G27" s="408"/>
      <c r="H27" s="408"/>
      <c r="I27" s="473"/>
    </row>
    <row r="28" spans="1:13" ht="12" customHeight="1">
      <c r="A28" s="404" t="s">
        <v>1008</v>
      </c>
      <c r="B28" s="407" t="s">
        <v>429</v>
      </c>
      <c r="C28" s="408" t="s">
        <v>28</v>
      </c>
      <c r="D28" s="408"/>
      <c r="E28" s="408"/>
      <c r="F28" s="408"/>
      <c r="G28" s="408"/>
      <c r="H28" s="408"/>
      <c r="I28" s="752"/>
      <c r="J28" s="752"/>
      <c r="K28" s="752"/>
      <c r="L28" s="752"/>
      <c r="M28" s="752"/>
    </row>
    <row r="29" spans="1:9" ht="12" customHeight="1">
      <c r="A29" s="404" t="s">
        <v>1008</v>
      </c>
      <c r="B29" s="407" t="s">
        <v>430</v>
      </c>
      <c r="C29" s="403" t="s">
        <v>731</v>
      </c>
      <c r="D29" s="408"/>
      <c r="E29" s="408"/>
      <c r="F29" s="408"/>
      <c r="G29" s="402"/>
      <c r="H29" s="408"/>
      <c r="I29" s="473"/>
    </row>
    <row r="30" spans="1:9" ht="12" customHeight="1">
      <c r="A30" s="404" t="s">
        <v>1008</v>
      </c>
      <c r="B30" s="407" t="s">
        <v>431</v>
      </c>
      <c r="C30" s="408" t="s">
        <v>425</v>
      </c>
      <c r="D30" s="408"/>
      <c r="E30" s="408"/>
      <c r="F30" s="408"/>
      <c r="G30" s="408"/>
      <c r="H30" s="408"/>
      <c r="I30" s="473"/>
    </row>
    <row r="31" spans="1:9" ht="12" customHeight="1">
      <c r="A31" s="404" t="s">
        <v>1008</v>
      </c>
      <c r="B31" s="407" t="s">
        <v>664</v>
      </c>
      <c r="C31" s="408" t="s">
        <v>702</v>
      </c>
      <c r="D31" s="408"/>
      <c r="E31" s="408"/>
      <c r="F31" s="408"/>
      <c r="G31" s="408"/>
      <c r="H31" s="408"/>
      <c r="I31" s="473"/>
    </row>
    <row r="32" spans="1:13" ht="12" customHeight="1">
      <c r="A32" s="404" t="s">
        <v>1008</v>
      </c>
      <c r="B32" s="407" t="s">
        <v>227</v>
      </c>
      <c r="C32" s="408" t="s">
        <v>469</v>
      </c>
      <c r="D32" s="408"/>
      <c r="E32" s="408"/>
      <c r="F32" s="408"/>
      <c r="G32" s="408"/>
      <c r="H32" s="408"/>
      <c r="I32" s="752"/>
      <c r="J32" s="752"/>
      <c r="K32" s="752"/>
      <c r="L32" s="752"/>
      <c r="M32" s="752"/>
    </row>
    <row r="33" spans="1:13" ht="12" customHeight="1">
      <c r="A33" s="404" t="s">
        <v>1008</v>
      </c>
      <c r="B33" s="407" t="s">
        <v>221</v>
      </c>
      <c r="C33" s="408" t="s">
        <v>222</v>
      </c>
      <c r="D33" s="408"/>
      <c r="E33" s="408"/>
      <c r="F33" s="408"/>
      <c r="G33" s="408"/>
      <c r="H33" s="408"/>
      <c r="I33" s="758"/>
      <c r="J33" s="758"/>
      <c r="K33" s="758"/>
      <c r="L33" s="758"/>
      <c r="M33" s="758"/>
    </row>
    <row r="34" spans="1:13" ht="12" customHeight="1">
      <c r="A34" s="404" t="s">
        <v>1008</v>
      </c>
      <c r="B34" s="407" t="s">
        <v>630</v>
      </c>
      <c r="C34" s="408" t="s">
        <v>631</v>
      </c>
      <c r="D34" s="408"/>
      <c r="E34" s="408"/>
      <c r="F34" s="408"/>
      <c r="G34" s="408"/>
      <c r="H34" s="408"/>
      <c r="I34" s="636"/>
      <c r="J34" s="636"/>
      <c r="K34" s="636"/>
      <c r="L34" s="636"/>
      <c r="M34" s="636"/>
    </row>
    <row r="35" spans="1:13" ht="12" customHeight="1">
      <c r="A35" s="404" t="s">
        <v>1008</v>
      </c>
      <c r="B35" s="407" t="s">
        <v>454</v>
      </c>
      <c r="C35" s="408" t="s">
        <v>456</v>
      </c>
      <c r="D35" s="402"/>
      <c r="E35" s="402"/>
      <c r="F35" s="402"/>
      <c r="G35" s="402"/>
      <c r="H35" s="402"/>
      <c r="I35" s="752"/>
      <c r="J35" s="752"/>
      <c r="K35" s="752"/>
      <c r="L35" s="752"/>
      <c r="M35" s="752"/>
    </row>
    <row r="36" spans="1:13" ht="12" customHeight="1">
      <c r="A36" s="404" t="s">
        <v>1008</v>
      </c>
      <c r="B36" s="407" t="s">
        <v>65</v>
      </c>
      <c r="C36" s="408" t="s">
        <v>707</v>
      </c>
      <c r="D36" s="402"/>
      <c r="E36" s="402"/>
      <c r="F36" s="402"/>
      <c r="G36" s="402"/>
      <c r="H36" s="402"/>
      <c r="I36" s="752"/>
      <c r="J36" s="752"/>
      <c r="K36" s="752"/>
      <c r="L36" s="752"/>
      <c r="M36" s="752"/>
    </row>
    <row r="37" spans="1:13" ht="12" customHeight="1">
      <c r="A37" s="404" t="s">
        <v>1008</v>
      </c>
      <c r="B37" s="407" t="s">
        <v>66</v>
      </c>
      <c r="C37" s="408" t="s">
        <v>652</v>
      </c>
      <c r="D37" s="402"/>
      <c r="E37" s="402"/>
      <c r="F37" s="402"/>
      <c r="G37" s="402"/>
      <c r="H37" s="402"/>
      <c r="I37" s="752"/>
      <c r="J37" s="752"/>
      <c r="K37" s="752"/>
      <c r="L37" s="752"/>
      <c r="M37" s="752"/>
    </row>
    <row r="38" spans="1:13" ht="12" customHeight="1">
      <c r="A38" s="404" t="s">
        <v>1008</v>
      </c>
      <c r="B38" s="407" t="s">
        <v>253</v>
      </c>
      <c r="C38" s="408" t="s">
        <v>881</v>
      </c>
      <c r="D38" s="402"/>
      <c r="E38" s="402"/>
      <c r="F38" s="402"/>
      <c r="G38" s="402"/>
      <c r="H38" s="402"/>
      <c r="I38" s="752"/>
      <c r="J38" s="752"/>
      <c r="K38" s="752"/>
      <c r="L38" s="752"/>
      <c r="M38" s="752"/>
    </row>
    <row r="39" spans="1:13" ht="12" customHeight="1">
      <c r="A39" s="404" t="s">
        <v>1008</v>
      </c>
      <c r="B39" s="407" t="s">
        <v>660</v>
      </c>
      <c r="C39" s="408" t="s">
        <v>417</v>
      </c>
      <c r="D39" s="402"/>
      <c r="E39" s="402"/>
      <c r="F39" s="402"/>
      <c r="G39" s="402"/>
      <c r="H39" s="402"/>
      <c r="I39" s="758"/>
      <c r="J39" s="758"/>
      <c r="K39" s="758"/>
      <c r="L39" s="758"/>
      <c r="M39" s="758"/>
    </row>
    <row r="40" spans="1:13" ht="12" customHeight="1">
      <c r="A40" s="404" t="s">
        <v>1008</v>
      </c>
      <c r="B40" s="407" t="s">
        <v>756</v>
      </c>
      <c r="C40" s="403" t="s">
        <v>455</v>
      </c>
      <c r="D40" s="402"/>
      <c r="E40" s="402"/>
      <c r="F40" s="402"/>
      <c r="G40" s="402"/>
      <c r="H40" s="402"/>
      <c r="I40" s="752"/>
      <c r="J40" s="752"/>
      <c r="K40" s="752"/>
      <c r="L40" s="752"/>
      <c r="M40" s="752"/>
    </row>
    <row r="41" spans="1:13" ht="12" customHeight="1">
      <c r="A41" s="404" t="s">
        <v>1008</v>
      </c>
      <c r="B41" s="407" t="s">
        <v>766</v>
      </c>
      <c r="C41" s="403" t="s">
        <v>437</v>
      </c>
      <c r="D41" s="402"/>
      <c r="E41" s="402"/>
      <c r="F41" s="402"/>
      <c r="G41" s="402"/>
      <c r="H41" s="402"/>
      <c r="I41" s="752"/>
      <c r="J41" s="752"/>
      <c r="K41" s="752"/>
      <c r="L41" s="752"/>
      <c r="M41" s="752"/>
    </row>
    <row r="42" spans="1:13" ht="13.5">
      <c r="A42" s="403"/>
      <c r="B42" s="456" t="s">
        <v>64</v>
      </c>
      <c r="C42" s="402"/>
      <c r="D42" s="402"/>
      <c r="E42" s="402"/>
      <c r="F42" s="402"/>
      <c r="G42" s="402"/>
      <c r="H42" s="402"/>
      <c r="I42" s="475"/>
      <c r="J42" s="475"/>
      <c r="K42" s="475"/>
      <c r="L42" s="475"/>
      <c r="M42" s="475"/>
    </row>
    <row r="43" spans="1:13" s="128" customFormat="1" ht="3" customHeight="1">
      <c r="A43" s="453"/>
      <c r="B43" s="454">
        <v>2016</v>
      </c>
      <c r="I43" s="475"/>
      <c r="J43" s="475"/>
      <c r="K43" s="475"/>
      <c r="L43" s="475"/>
      <c r="M43" s="475"/>
    </row>
    <row r="44" spans="1:17" s="146" customFormat="1" ht="12.75">
      <c r="A44" s="409"/>
      <c r="B44" s="427" t="s">
        <v>560</v>
      </c>
      <c r="C44" s="410"/>
      <c r="D44" s="410"/>
      <c r="E44" s="410"/>
      <c r="F44" s="410"/>
      <c r="G44" s="410"/>
      <c r="H44" s="410"/>
      <c r="I44" s="476"/>
      <c r="J44" s="438"/>
      <c r="K44" s="438"/>
      <c r="L44" s="438"/>
      <c r="M44" s="438"/>
      <c r="N44" s="145"/>
      <c r="O44" s="145"/>
      <c r="P44" s="145"/>
      <c r="Q44" s="145"/>
    </row>
    <row r="45" spans="1:17" s="448" customFormat="1" ht="12" customHeight="1">
      <c r="A45" s="441" t="s">
        <v>1008</v>
      </c>
      <c r="B45" s="753" t="s">
        <v>349</v>
      </c>
      <c r="C45" s="754"/>
      <c r="D45" s="754"/>
      <c r="E45" s="754"/>
      <c r="F45" s="755"/>
      <c r="G45" s="445" t="s">
        <v>1072</v>
      </c>
      <c r="H45" s="445" t="s">
        <v>350</v>
      </c>
      <c r="I45" s="756"/>
      <c r="J45" s="757"/>
      <c r="K45" s="477"/>
      <c r="L45" s="478"/>
      <c r="M45" s="478"/>
      <c r="N45" s="447"/>
      <c r="O45" s="447"/>
      <c r="P45" s="447"/>
      <c r="Q45" s="447"/>
    </row>
    <row r="46" spans="1:17" s="448" customFormat="1" ht="12" customHeight="1">
      <c r="A46" s="441"/>
      <c r="B46" s="449" t="s">
        <v>39</v>
      </c>
      <c r="C46" s="442" t="s">
        <v>40</v>
      </c>
      <c r="D46" s="443"/>
      <c r="E46" s="443"/>
      <c r="F46" s="444"/>
      <c r="G46" s="445" t="s">
        <v>1072</v>
      </c>
      <c r="H46" s="445" t="s">
        <v>41</v>
      </c>
      <c r="I46" s="756"/>
      <c r="J46" s="757"/>
      <c r="K46" s="756"/>
      <c r="L46" s="757"/>
      <c r="M46" s="550"/>
      <c r="N46" s="447"/>
      <c r="O46" s="447"/>
      <c r="P46" s="447"/>
      <c r="Q46" s="447"/>
    </row>
    <row r="47" spans="1:17" s="448" customFormat="1" ht="12" customHeight="1">
      <c r="A47" s="441" t="s">
        <v>1008</v>
      </c>
      <c r="B47" s="449" t="s">
        <v>262</v>
      </c>
      <c r="C47" s="442" t="s">
        <v>885</v>
      </c>
      <c r="D47" s="443"/>
      <c r="E47" s="443"/>
      <c r="F47" s="444"/>
      <c r="G47" s="445" t="s">
        <v>638</v>
      </c>
      <c r="H47" s="445"/>
      <c r="I47" s="734" t="s">
        <v>347</v>
      </c>
      <c r="J47" s="735"/>
      <c r="K47" s="474"/>
      <c r="L47" s="474"/>
      <c r="M47" s="474"/>
      <c r="N47" s="447"/>
      <c r="O47" s="447"/>
      <c r="P47" s="447"/>
      <c r="Q47" s="447"/>
    </row>
    <row r="48" spans="1:17" s="448" customFormat="1" ht="10.5" customHeight="1">
      <c r="A48" s="441"/>
      <c r="B48" s="564" t="s">
        <v>867</v>
      </c>
      <c r="C48" s="565" t="s">
        <v>467</v>
      </c>
      <c r="D48" s="566"/>
      <c r="E48" s="566"/>
      <c r="F48" s="567"/>
      <c r="G48" s="568" t="s">
        <v>468</v>
      </c>
      <c r="H48" s="568" t="s">
        <v>42</v>
      </c>
      <c r="I48" s="554"/>
      <c r="J48" s="553"/>
      <c r="K48" s="474"/>
      <c r="L48" s="474"/>
      <c r="M48" s="474"/>
      <c r="N48" s="447"/>
      <c r="O48" s="447"/>
      <c r="P48" s="447"/>
      <c r="Q48" s="447"/>
    </row>
    <row r="49" spans="1:17" s="580" customFormat="1" ht="24.75" customHeight="1">
      <c r="A49" s="577"/>
      <c r="B49" s="578" t="s">
        <v>868</v>
      </c>
      <c r="C49" s="748" t="s">
        <v>542</v>
      </c>
      <c r="D49" s="749"/>
      <c r="E49" s="749"/>
      <c r="F49" s="750"/>
      <c r="G49" s="578" t="s">
        <v>878</v>
      </c>
      <c r="H49" s="578" t="s">
        <v>852</v>
      </c>
      <c r="I49" s="744"/>
      <c r="J49" s="745"/>
      <c r="K49" s="745"/>
      <c r="L49" s="745"/>
      <c r="M49" s="745"/>
      <c r="N49" s="745"/>
      <c r="O49" s="579"/>
      <c r="P49" s="579"/>
      <c r="Q49" s="579"/>
    </row>
    <row r="50" spans="1:17" s="571" customFormat="1" ht="12" customHeight="1">
      <c r="A50" s="569"/>
      <c r="B50" s="449" t="s">
        <v>573</v>
      </c>
      <c r="C50" s="442" t="s">
        <v>559</v>
      </c>
      <c r="D50" s="443"/>
      <c r="E50" s="443"/>
      <c r="F50" s="444"/>
      <c r="G50" s="445" t="s">
        <v>871</v>
      </c>
      <c r="H50" s="445" t="s">
        <v>640</v>
      </c>
      <c r="I50" s="746"/>
      <c r="J50" s="747"/>
      <c r="K50" s="747"/>
      <c r="L50" s="747"/>
      <c r="M50" s="747"/>
      <c r="N50" s="747"/>
      <c r="O50" s="570"/>
      <c r="P50" s="570"/>
      <c r="Q50" s="570"/>
    </row>
    <row r="51" spans="1:17" s="571" customFormat="1" ht="24.75" customHeight="1">
      <c r="A51" s="569"/>
      <c r="B51" s="450" t="s">
        <v>854</v>
      </c>
      <c r="C51" s="442" t="s">
        <v>869</v>
      </c>
      <c r="D51" s="443"/>
      <c r="E51" s="443"/>
      <c r="F51" s="444"/>
      <c r="G51" s="578" t="s">
        <v>872</v>
      </c>
      <c r="H51" s="445"/>
      <c r="I51" s="618"/>
      <c r="J51" s="617"/>
      <c r="K51" s="617"/>
      <c r="L51" s="617"/>
      <c r="M51" s="617"/>
      <c r="N51" s="617"/>
      <c r="O51" s="570"/>
      <c r="P51" s="570"/>
      <c r="Q51" s="570"/>
    </row>
    <row r="52" spans="1:17" s="448" customFormat="1" ht="12" customHeight="1">
      <c r="A52" s="441" t="s">
        <v>1008</v>
      </c>
      <c r="B52" s="449" t="s">
        <v>855</v>
      </c>
      <c r="C52" s="442" t="s">
        <v>886</v>
      </c>
      <c r="D52" s="443"/>
      <c r="E52" s="443"/>
      <c r="F52" s="444"/>
      <c r="G52" s="445" t="s">
        <v>637</v>
      </c>
      <c r="H52" s="445"/>
      <c r="I52" s="734"/>
      <c r="J52" s="736"/>
      <c r="K52" s="479"/>
      <c r="L52" s="480"/>
      <c r="M52" s="480"/>
      <c r="N52" s="447"/>
      <c r="O52" s="447"/>
      <c r="P52" s="447"/>
      <c r="Q52" s="447"/>
    </row>
    <row r="53" spans="1:17" s="448" customFormat="1" ht="12" customHeight="1">
      <c r="A53" s="441" t="s">
        <v>1008</v>
      </c>
      <c r="B53" s="449" t="s">
        <v>855</v>
      </c>
      <c r="C53" s="442" t="s">
        <v>46</v>
      </c>
      <c r="D53" s="443"/>
      <c r="E53" s="443"/>
      <c r="F53" s="444"/>
      <c r="G53" s="445" t="s">
        <v>873</v>
      </c>
      <c r="H53" s="445" t="s">
        <v>346</v>
      </c>
      <c r="I53" s="474"/>
      <c r="J53" s="479"/>
      <c r="K53" s="479"/>
      <c r="L53" s="480"/>
      <c r="M53" s="480"/>
      <c r="N53" s="447"/>
      <c r="O53" s="447"/>
      <c r="P53" s="447"/>
      <c r="Q53" s="447"/>
    </row>
    <row r="54" spans="1:17" s="448" customFormat="1" ht="12" customHeight="1">
      <c r="A54" s="441" t="s">
        <v>1008</v>
      </c>
      <c r="B54" s="449" t="s">
        <v>855</v>
      </c>
      <c r="C54" s="442" t="s">
        <v>62</v>
      </c>
      <c r="D54" s="443"/>
      <c r="E54" s="443"/>
      <c r="F54" s="444"/>
      <c r="G54" s="445" t="s">
        <v>1072</v>
      </c>
      <c r="H54" s="445" t="s">
        <v>63</v>
      </c>
      <c r="I54" s="474"/>
      <c r="J54" s="479"/>
      <c r="K54" s="479"/>
      <c r="L54" s="480"/>
      <c r="M54" s="480"/>
      <c r="N54" s="447"/>
      <c r="O54" s="447"/>
      <c r="P54" s="447"/>
      <c r="Q54" s="447"/>
    </row>
    <row r="55" spans="1:17" s="448" customFormat="1" ht="12" customHeight="1">
      <c r="A55" s="441" t="s">
        <v>1008</v>
      </c>
      <c r="B55" s="449" t="s">
        <v>855</v>
      </c>
      <c r="C55" s="442" t="s">
        <v>294</v>
      </c>
      <c r="D55" s="443"/>
      <c r="E55" s="443"/>
      <c r="F55" s="444"/>
      <c r="G55" s="445" t="s">
        <v>874</v>
      </c>
      <c r="H55" s="445"/>
      <c r="I55" s="474"/>
      <c r="J55" s="479"/>
      <c r="K55" s="479"/>
      <c r="L55" s="480"/>
      <c r="M55" s="480"/>
      <c r="N55" s="447"/>
      <c r="O55" s="447"/>
      <c r="P55" s="447"/>
      <c r="Q55" s="447"/>
    </row>
    <row r="56" spans="1:17" s="448" customFormat="1" ht="12" customHeight="1">
      <c r="A56" s="441" t="s">
        <v>1008</v>
      </c>
      <c r="B56" s="449" t="s">
        <v>855</v>
      </c>
      <c r="C56" s="442" t="s">
        <v>870</v>
      </c>
      <c r="D56" s="443"/>
      <c r="E56" s="443"/>
      <c r="F56" s="444"/>
      <c r="G56" s="445" t="s">
        <v>875</v>
      </c>
      <c r="H56" s="445" t="s">
        <v>261</v>
      </c>
      <c r="I56" s="474"/>
      <c r="J56" s="479"/>
      <c r="K56" s="479"/>
      <c r="L56" s="480"/>
      <c r="M56" s="480"/>
      <c r="N56" s="447"/>
      <c r="O56" s="447"/>
      <c r="P56" s="447"/>
      <c r="Q56" s="447"/>
    </row>
    <row r="57" spans="1:17" s="448" customFormat="1" ht="12" customHeight="1">
      <c r="A57" s="441" t="s">
        <v>1008</v>
      </c>
      <c r="B57" s="449" t="s">
        <v>855</v>
      </c>
      <c r="C57" s="442" t="s">
        <v>147</v>
      </c>
      <c r="D57" s="443"/>
      <c r="E57" s="443"/>
      <c r="F57" s="444"/>
      <c r="G57" s="445" t="s">
        <v>1072</v>
      </c>
      <c r="H57" s="445" t="s">
        <v>574</v>
      </c>
      <c r="I57" s="474"/>
      <c r="J57" s="479"/>
      <c r="K57" s="479"/>
      <c r="L57" s="480"/>
      <c r="M57" s="480"/>
      <c r="N57" s="447"/>
      <c r="O57" s="447"/>
      <c r="P57" s="447"/>
      <c r="Q57" s="447"/>
    </row>
    <row r="58" spans="1:17" s="448" customFormat="1" ht="12" customHeight="1">
      <c r="A58" s="441" t="s">
        <v>1008</v>
      </c>
      <c r="B58" s="449" t="s">
        <v>855</v>
      </c>
      <c r="C58" s="442" t="s">
        <v>148</v>
      </c>
      <c r="D58" s="443"/>
      <c r="E58" s="443"/>
      <c r="F58" s="444"/>
      <c r="G58" s="445" t="s">
        <v>149</v>
      </c>
      <c r="H58" s="445" t="s">
        <v>263</v>
      </c>
      <c r="I58" s="474"/>
      <c r="J58" s="479"/>
      <c r="K58" s="479"/>
      <c r="L58" s="480"/>
      <c r="M58" s="480"/>
      <c r="N58" s="447"/>
      <c r="O58" s="447"/>
      <c r="P58" s="447"/>
      <c r="Q58" s="447"/>
    </row>
    <row r="59" spans="1:17" s="448" customFormat="1" ht="12" customHeight="1">
      <c r="A59" s="441" t="s">
        <v>1008</v>
      </c>
      <c r="B59" s="449" t="s">
        <v>855</v>
      </c>
      <c r="C59" s="442" t="s">
        <v>451</v>
      </c>
      <c r="D59" s="443"/>
      <c r="E59" s="443"/>
      <c r="F59" s="444"/>
      <c r="G59" s="445" t="s">
        <v>876</v>
      </c>
      <c r="H59" s="445" t="s">
        <v>575</v>
      </c>
      <c r="I59" s="474"/>
      <c r="J59" s="479"/>
      <c r="K59" s="479"/>
      <c r="L59" s="480"/>
      <c r="M59" s="480"/>
      <c r="N59" s="447"/>
      <c r="O59" s="447"/>
      <c r="P59" s="447"/>
      <c r="Q59" s="447"/>
    </row>
    <row r="60" spans="1:17" s="448" customFormat="1" ht="12" customHeight="1">
      <c r="A60" s="441" t="s">
        <v>1008</v>
      </c>
      <c r="B60" s="449" t="s">
        <v>855</v>
      </c>
      <c r="C60" s="442" t="s">
        <v>150</v>
      </c>
      <c r="D60" s="443"/>
      <c r="E60" s="443"/>
      <c r="F60" s="444"/>
      <c r="G60" s="445" t="s">
        <v>151</v>
      </c>
      <c r="H60" s="445"/>
      <c r="I60" s="474"/>
      <c r="J60" s="479"/>
      <c r="K60" s="479"/>
      <c r="L60" s="480"/>
      <c r="M60" s="480"/>
      <c r="N60" s="447"/>
      <c r="O60" s="447"/>
      <c r="P60" s="447"/>
      <c r="Q60" s="447"/>
    </row>
    <row r="61" spans="1:17" s="448" customFormat="1" ht="12" customHeight="1">
      <c r="A61" s="441" t="s">
        <v>1008</v>
      </c>
      <c r="B61" s="449" t="s">
        <v>855</v>
      </c>
      <c r="C61" s="442" t="s">
        <v>856</v>
      </c>
      <c r="D61" s="443"/>
      <c r="E61" s="443"/>
      <c r="F61" s="444"/>
      <c r="G61" s="445" t="s">
        <v>857</v>
      </c>
      <c r="H61" s="445"/>
      <c r="I61" s="474"/>
      <c r="J61" s="479"/>
      <c r="K61" s="479"/>
      <c r="L61" s="480"/>
      <c r="M61" s="480"/>
      <c r="N61" s="447"/>
      <c r="O61" s="447"/>
      <c r="P61" s="447"/>
      <c r="Q61" s="447"/>
    </row>
    <row r="62" spans="1:17" s="448" customFormat="1" ht="12" customHeight="1">
      <c r="A62" s="441" t="s">
        <v>1008</v>
      </c>
      <c r="B62" s="449" t="s">
        <v>855</v>
      </c>
      <c r="C62" s="442" t="s">
        <v>858</v>
      </c>
      <c r="D62" s="443"/>
      <c r="E62" s="443"/>
      <c r="F62" s="444"/>
      <c r="G62" s="445" t="s">
        <v>859</v>
      </c>
      <c r="H62" s="445"/>
      <c r="I62" s="474"/>
      <c r="J62" s="479"/>
      <c r="K62" s="479"/>
      <c r="L62" s="480"/>
      <c r="M62" s="480"/>
      <c r="N62" s="447"/>
      <c r="O62" s="447"/>
      <c r="P62" s="447"/>
      <c r="Q62" s="447"/>
    </row>
    <row r="63" spans="1:17" s="448" customFormat="1" ht="12" customHeight="1">
      <c r="A63" s="441"/>
      <c r="B63" s="449" t="s">
        <v>855</v>
      </c>
      <c r="C63" s="442" t="s">
        <v>860</v>
      </c>
      <c r="D63" s="443"/>
      <c r="E63" s="443"/>
      <c r="F63" s="444"/>
      <c r="G63" s="445" t="s">
        <v>861</v>
      </c>
      <c r="H63" s="445"/>
      <c r="I63" s="474"/>
      <c r="J63" s="479"/>
      <c r="K63" s="479"/>
      <c r="L63" s="480"/>
      <c r="M63" s="480"/>
      <c r="N63" s="447"/>
      <c r="O63" s="447"/>
      <c r="P63" s="447"/>
      <c r="Q63" s="447"/>
    </row>
    <row r="64" spans="1:17" s="448" customFormat="1" ht="12" customHeight="1">
      <c r="A64" s="441"/>
      <c r="B64" s="449" t="s">
        <v>855</v>
      </c>
      <c r="C64" s="442" t="s">
        <v>152</v>
      </c>
      <c r="D64" s="443"/>
      <c r="E64" s="443"/>
      <c r="F64" s="444"/>
      <c r="G64" s="445" t="s">
        <v>153</v>
      </c>
      <c r="H64" s="445"/>
      <c r="I64" s="474"/>
      <c r="J64" s="479"/>
      <c r="K64" s="479"/>
      <c r="L64" s="480"/>
      <c r="M64" s="480"/>
      <c r="N64" s="447"/>
      <c r="O64" s="447"/>
      <c r="P64" s="447"/>
      <c r="Q64" s="447"/>
    </row>
    <row r="65" spans="1:17" s="448" customFormat="1" ht="12" customHeight="1">
      <c r="A65" s="441"/>
      <c r="B65" s="449" t="s">
        <v>855</v>
      </c>
      <c r="C65" s="442" t="s">
        <v>154</v>
      </c>
      <c r="D65" s="443"/>
      <c r="E65" s="443"/>
      <c r="F65" s="444"/>
      <c r="G65" s="445" t="s">
        <v>155</v>
      </c>
      <c r="H65" s="445"/>
      <c r="I65" s="474"/>
      <c r="J65" s="479"/>
      <c r="K65" s="479"/>
      <c r="L65" s="480"/>
      <c r="M65" s="480"/>
      <c r="N65" s="447"/>
      <c r="O65" s="447"/>
      <c r="P65" s="447"/>
      <c r="Q65" s="447"/>
    </row>
    <row r="66" spans="1:17" s="448" customFormat="1" ht="12" customHeight="1">
      <c r="A66" s="441"/>
      <c r="B66" s="449" t="s">
        <v>855</v>
      </c>
      <c r="C66" s="442" t="s">
        <v>156</v>
      </c>
      <c r="D66" s="443"/>
      <c r="E66" s="443"/>
      <c r="F66" s="444"/>
      <c r="G66" s="445" t="s">
        <v>157</v>
      </c>
      <c r="H66" s="445"/>
      <c r="I66" s="474"/>
      <c r="J66" s="479"/>
      <c r="K66" s="479"/>
      <c r="L66" s="480"/>
      <c r="M66" s="480"/>
      <c r="N66" s="447"/>
      <c r="O66" s="447"/>
      <c r="P66" s="447"/>
      <c r="Q66" s="447"/>
    </row>
    <row r="67" spans="1:17" s="448" customFormat="1" ht="12" customHeight="1">
      <c r="A67" s="441"/>
      <c r="B67" s="449" t="s">
        <v>855</v>
      </c>
      <c r="C67" s="442" t="s">
        <v>158</v>
      </c>
      <c r="D67" s="443"/>
      <c r="E67" s="443"/>
      <c r="F67" s="444"/>
      <c r="G67" s="445" t="s">
        <v>159</v>
      </c>
      <c r="H67" s="445"/>
      <c r="I67" s="474"/>
      <c r="J67" s="479"/>
      <c r="K67" s="479"/>
      <c r="L67" s="480"/>
      <c r="M67" s="480"/>
      <c r="N67" s="447"/>
      <c r="O67" s="447"/>
      <c r="P67" s="447"/>
      <c r="Q67" s="447"/>
    </row>
    <row r="68" spans="1:17" s="448" customFormat="1" ht="12" customHeight="1">
      <c r="A68" s="441"/>
      <c r="B68" s="449" t="s">
        <v>855</v>
      </c>
      <c r="C68" s="442" t="s">
        <v>160</v>
      </c>
      <c r="D68" s="443"/>
      <c r="E68" s="443"/>
      <c r="F68" s="444"/>
      <c r="G68" s="445" t="s">
        <v>161</v>
      </c>
      <c r="H68" s="445"/>
      <c r="I68" s="474"/>
      <c r="J68" s="479"/>
      <c r="K68" s="479"/>
      <c r="L68" s="480"/>
      <c r="M68" s="480"/>
      <c r="N68" s="447"/>
      <c r="O68" s="447"/>
      <c r="P68" s="447"/>
      <c r="Q68" s="447"/>
    </row>
    <row r="69" spans="1:17" s="448" customFormat="1" ht="23.25" customHeight="1">
      <c r="A69" s="441" t="s">
        <v>1008</v>
      </c>
      <c r="B69" s="450" t="s">
        <v>557</v>
      </c>
      <c r="C69" s="452" t="s">
        <v>558</v>
      </c>
      <c r="D69" s="443"/>
      <c r="E69" s="443"/>
      <c r="F69" s="444"/>
      <c r="G69" s="451" t="s">
        <v>877</v>
      </c>
      <c r="H69" s="451" t="s">
        <v>306</v>
      </c>
      <c r="I69" s="737"/>
      <c r="J69" s="738"/>
      <c r="K69" s="738"/>
      <c r="L69" s="738"/>
      <c r="M69" s="738"/>
      <c r="N69" s="738"/>
      <c r="O69" s="447"/>
      <c r="P69" s="447"/>
      <c r="Q69" s="447"/>
    </row>
    <row r="70" spans="1:17" s="448" customFormat="1" ht="35.25" customHeight="1">
      <c r="A70" s="441" t="s">
        <v>1008</v>
      </c>
      <c r="B70" s="450" t="s">
        <v>543</v>
      </c>
      <c r="C70" s="739" t="s">
        <v>295</v>
      </c>
      <c r="D70" s="740"/>
      <c r="E70" s="740"/>
      <c r="F70" s="741"/>
      <c r="G70" s="451" t="s">
        <v>1072</v>
      </c>
      <c r="H70" s="451" t="s">
        <v>361</v>
      </c>
      <c r="I70" s="742"/>
      <c r="J70" s="743"/>
      <c r="K70" s="743"/>
      <c r="L70" s="743"/>
      <c r="M70" s="743"/>
      <c r="N70" s="447"/>
      <c r="O70" s="447"/>
      <c r="P70" s="447"/>
      <c r="Q70" s="447"/>
    </row>
    <row r="71" spans="1:17" s="448" customFormat="1" ht="12.75" customHeight="1">
      <c r="A71" s="441" t="s">
        <v>1008</v>
      </c>
      <c r="B71" s="449" t="s">
        <v>546</v>
      </c>
      <c r="C71" s="442" t="s">
        <v>1070</v>
      </c>
      <c r="D71" s="443"/>
      <c r="E71" s="443"/>
      <c r="F71" s="444"/>
      <c r="G71" s="451" t="s">
        <v>879</v>
      </c>
      <c r="H71" s="451" t="s">
        <v>639</v>
      </c>
      <c r="I71" s="471"/>
      <c r="J71" s="446"/>
      <c r="K71" s="446"/>
      <c r="L71" s="447"/>
      <c r="M71" s="447"/>
      <c r="N71" s="447"/>
      <c r="O71" s="447"/>
      <c r="P71" s="447"/>
      <c r="Q71" s="447"/>
    </row>
    <row r="72" spans="1:17" s="562" customFormat="1" ht="12.75">
      <c r="A72" s="555"/>
      <c r="B72" s="556"/>
      <c r="C72" s="557"/>
      <c r="D72" s="558"/>
      <c r="E72" s="558"/>
      <c r="F72" s="559"/>
      <c r="G72" s="560"/>
      <c r="H72" s="560"/>
      <c r="I72" s="561"/>
      <c r="J72" s="561"/>
      <c r="K72" s="561"/>
      <c r="L72" s="561"/>
      <c r="M72" s="561"/>
      <c r="N72" s="561"/>
      <c r="O72" s="561"/>
      <c r="P72" s="561"/>
      <c r="Q72" s="561"/>
    </row>
    <row r="73" spans="1:17" s="146" customFormat="1" ht="12.75" hidden="1">
      <c r="A73" s="437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1:17" s="468" customFormat="1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467"/>
      <c r="O74" s="467"/>
      <c r="P74" s="467"/>
      <c r="Q74" s="467"/>
    </row>
    <row r="75" spans="1:17" s="468" customFormat="1" ht="12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467"/>
      <c r="O75" s="467"/>
      <c r="P75" s="467"/>
      <c r="Q75" s="467"/>
    </row>
    <row r="76" spans="1:17" s="146" customFormat="1" ht="12.7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1:17" s="146" customFormat="1" ht="12.75">
      <c r="A77" s="145"/>
      <c r="B77" s="145" t="s">
        <v>610</v>
      </c>
      <c r="C77" s="145" t="s">
        <v>509</v>
      </c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1:17" s="146" customFormat="1" ht="12.75">
      <c r="A78" s="145"/>
      <c r="B78" s="145"/>
      <c r="C78" s="145" t="s">
        <v>458</v>
      </c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1:17" s="146" customFormat="1" ht="12.75">
      <c r="A79" s="145"/>
      <c r="B79" s="145"/>
      <c r="C79" s="145" t="s">
        <v>459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1:17" s="146" customFormat="1" ht="12.75">
      <c r="A80" s="145"/>
      <c r="B80" s="145" t="s">
        <v>611</v>
      </c>
      <c r="C80" s="682" t="s">
        <v>460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1:17" s="146" customFormat="1" ht="12.7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1:17" s="146" customFormat="1" ht="12.75">
      <c r="A82" s="145"/>
      <c r="B82" s="145" t="s">
        <v>615</v>
      </c>
      <c r="C82" s="655" t="s">
        <v>461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1:17" s="146" customFormat="1" ht="12.75">
      <c r="A83" s="145"/>
      <c r="B83" s="145" t="s">
        <v>928</v>
      </c>
      <c r="C83" s="655" t="s">
        <v>462</v>
      </c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1:17" s="146" customFormat="1" ht="12.75">
      <c r="A84" s="145"/>
      <c r="B84" s="145"/>
      <c r="C84" s="65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1:17" s="146" customFormat="1" ht="12.75">
      <c r="A85" s="145"/>
      <c r="B85" s="437" t="s">
        <v>666</v>
      </c>
      <c r="C85" s="655" t="s">
        <v>162</v>
      </c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1:17" s="146" customFormat="1" ht="12.75">
      <c r="A86" s="145"/>
      <c r="B86" s="145" t="s">
        <v>1060</v>
      </c>
      <c r="C86" s="656">
        <v>3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1:17" s="146" customFormat="1" ht="12.75">
      <c r="A87" s="145"/>
      <c r="B87" s="437" t="s">
        <v>667</v>
      </c>
      <c r="C87" s="655" t="s">
        <v>163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1:17" s="146" customFormat="1" ht="12.75">
      <c r="A88" s="145"/>
      <c r="B88" s="145" t="s">
        <v>628</v>
      </c>
      <c r="C88" s="655" t="s">
        <v>164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1:17" s="146" customFormat="1" ht="12.75">
      <c r="A89" s="145"/>
      <c r="B89" s="145" t="s">
        <v>616</v>
      </c>
      <c r="C89" s="655" t="s">
        <v>165</v>
      </c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1:17" s="146" customFormat="1" ht="12.75">
      <c r="A90" s="145"/>
      <c r="B90" s="145" t="s">
        <v>617</v>
      </c>
      <c r="C90" s="655" t="s">
        <v>166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1:17" s="146" customFormat="1" ht="12.75">
      <c r="A91" s="145"/>
      <c r="B91" s="145" t="s">
        <v>618</v>
      </c>
      <c r="C91" s="655" t="s">
        <v>167</v>
      </c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1:17" s="146" customFormat="1" ht="12.75">
      <c r="A92" s="145"/>
      <c r="B92" s="145"/>
      <c r="C92" s="65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1:17" s="146" customFormat="1" ht="25.5">
      <c r="A93" s="145"/>
      <c r="B93" s="438" t="s">
        <v>613</v>
      </c>
      <c r="C93" s="145" t="s">
        <v>168</v>
      </c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1:17" s="146" customFormat="1" ht="12.75">
      <c r="A94" s="145"/>
      <c r="B94" s="438" t="s">
        <v>619</v>
      </c>
      <c r="C94" s="145" t="s">
        <v>169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1:17" s="146" customFormat="1" ht="25.5">
      <c r="A95" s="145"/>
      <c r="B95" s="438" t="s">
        <v>620</v>
      </c>
      <c r="C95" s="145" t="s">
        <v>169</v>
      </c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1:17" s="146" customFormat="1" ht="12.75">
      <c r="A96" s="145"/>
      <c r="B96" s="438" t="s">
        <v>594</v>
      </c>
      <c r="C96" s="145" t="s">
        <v>169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1:17" s="146" customFormat="1" ht="12.75">
      <c r="A97" s="145"/>
      <c r="B97" s="438" t="s">
        <v>621</v>
      </c>
      <c r="C97" s="655" t="s">
        <v>170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1:17" s="146" customFormat="1" ht="12.75">
      <c r="A98" s="145"/>
      <c r="B98" s="438" t="s">
        <v>1066</v>
      </c>
      <c r="C98" s="145" t="s">
        <v>169</v>
      </c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1:17" s="146" customFormat="1" ht="12.75">
      <c r="A99" s="145"/>
      <c r="B99" s="438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1:17" s="146" customFormat="1" ht="12.75">
      <c r="A100" s="145"/>
      <c r="B100" s="438" t="s">
        <v>622</v>
      </c>
      <c r="C100" s="682" t="s">
        <v>463</v>
      </c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1:17" s="146" customFormat="1" ht="12.75">
      <c r="A101" s="145"/>
      <c r="B101" s="438" t="s">
        <v>932</v>
      </c>
      <c r="C101" s="657" t="s">
        <v>58</v>
      </c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1:17" s="146" customFormat="1" ht="12.75">
      <c r="A102" s="145"/>
      <c r="B102" s="438"/>
      <c r="C102" s="658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1:17" s="146" customFormat="1" ht="15.75">
      <c r="A103" s="145"/>
      <c r="B103" s="437" t="s">
        <v>612</v>
      </c>
      <c r="C103" s="659" t="s">
        <v>289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1:17" s="146" customFormat="1" ht="12.75">
      <c r="A104" s="145"/>
      <c r="B104" s="438" t="s">
        <v>623</v>
      </c>
      <c r="C104" s="145" t="s">
        <v>464</v>
      </c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1:17" s="146" customFormat="1" ht="12.7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1:17" s="146" customFormat="1" ht="12.75">
      <c r="A106" s="145"/>
      <c r="B106" s="145" t="s">
        <v>282</v>
      </c>
      <c r="C106" s="660" t="s">
        <v>465</v>
      </c>
      <c r="D106" s="654">
        <v>45</v>
      </c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1:17" s="146" customFormat="1" ht="12.7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1:17" s="146" customFormat="1" ht="12.75">
      <c r="A108" s="145"/>
      <c r="B108" s="437" t="s">
        <v>443</v>
      </c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1:17" s="146" customFormat="1" ht="25.5">
      <c r="A109" s="145"/>
      <c r="B109" s="438" t="s">
        <v>466</v>
      </c>
      <c r="C109" s="145">
        <f>225*49</f>
        <v>11025</v>
      </c>
      <c r="D109" s="145"/>
      <c r="E109" s="145"/>
      <c r="F109" s="145"/>
      <c r="G109" s="661"/>
      <c r="H109" s="593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1:17" s="146" customFormat="1" ht="25.5">
      <c r="A110" s="145"/>
      <c r="B110" s="438" t="s">
        <v>1073</v>
      </c>
      <c r="C110" s="145">
        <v>0</v>
      </c>
      <c r="D110" s="145"/>
      <c r="E110" s="145"/>
      <c r="F110" s="145"/>
      <c r="G110" s="661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1:17" s="146" customFormat="1" ht="12.75">
      <c r="A111" s="145"/>
      <c r="B111" s="438" t="s">
        <v>1074</v>
      </c>
      <c r="C111" s="145">
        <v>0</v>
      </c>
      <c r="D111" s="145"/>
      <c r="E111" s="145"/>
      <c r="F111" s="145"/>
      <c r="G111" s="661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1:17" s="146" customFormat="1" ht="25.5">
      <c r="A112" s="145"/>
      <c r="B112" s="438" t="s">
        <v>929</v>
      </c>
      <c r="C112" s="145">
        <v>0</v>
      </c>
      <c r="D112" s="145"/>
      <c r="E112" s="145"/>
      <c r="F112" s="145"/>
      <c r="G112" s="661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1:17" s="146" customFormat="1" ht="12.75">
      <c r="A113" s="145"/>
      <c r="B113" s="145"/>
      <c r="C113" s="145"/>
      <c r="D113" s="145"/>
      <c r="E113" s="145"/>
      <c r="F113" s="145"/>
      <c r="G113" s="661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1:17" s="146" customFormat="1" ht="12.75">
      <c r="A114" s="145"/>
      <c r="B114" s="662" t="s">
        <v>625</v>
      </c>
      <c r="C114" s="145"/>
      <c r="D114" s="145"/>
      <c r="E114" s="145"/>
      <c r="F114" s="145"/>
      <c r="G114" s="661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1:17" s="146" customFormat="1" ht="12.75">
      <c r="A115" s="145"/>
      <c r="B115" s="438" t="s">
        <v>626</v>
      </c>
      <c r="C115" s="145">
        <v>0</v>
      </c>
      <c r="D115" s="145"/>
      <c r="E115" s="145"/>
      <c r="F115" s="145"/>
      <c r="G115" s="661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1:17" s="146" customFormat="1" ht="12.75">
      <c r="A116" s="145"/>
      <c r="B116" s="438" t="s">
        <v>635</v>
      </c>
      <c r="C116" s="145">
        <f>73*49</f>
        <v>3577</v>
      </c>
      <c r="D116" s="145"/>
      <c r="E116" s="145"/>
      <c r="F116" s="145"/>
      <c r="G116" s="661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1:17" s="146" customFormat="1" ht="12.75">
      <c r="A117" s="145"/>
      <c r="B117" s="438" t="s">
        <v>627</v>
      </c>
      <c r="C117" s="145">
        <f>123*49</f>
        <v>6027</v>
      </c>
      <c r="D117" s="145"/>
      <c r="E117" s="145"/>
      <c r="F117" s="145"/>
      <c r="G117" s="661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1:17" s="146" customFormat="1" ht="12.75">
      <c r="A118" s="145"/>
      <c r="B118" s="438" t="s">
        <v>636</v>
      </c>
      <c r="C118" s="145">
        <f>134*49</f>
        <v>6566</v>
      </c>
      <c r="D118" s="145"/>
      <c r="E118" s="145"/>
      <c r="F118" s="145"/>
      <c r="G118" s="661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1:17" s="146" customFormat="1" ht="12.75">
      <c r="A119" s="145"/>
      <c r="B119" s="438" t="s">
        <v>209</v>
      </c>
      <c r="C119" s="145">
        <f>107*49</f>
        <v>5243</v>
      </c>
      <c r="D119" s="145"/>
      <c r="E119" s="145"/>
      <c r="F119" s="145"/>
      <c r="G119" s="661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1:17" s="146" customFormat="1" ht="12.75">
      <c r="A120" s="145"/>
      <c r="B120" s="438" t="s">
        <v>1029</v>
      </c>
      <c r="C120" s="145">
        <f>118*49</f>
        <v>5782</v>
      </c>
      <c r="D120" s="145"/>
      <c r="E120" s="145"/>
      <c r="F120" s="145"/>
      <c r="G120" s="661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1:17" s="146" customFormat="1" ht="12.75">
      <c r="A121" s="145"/>
      <c r="B121" s="438" t="s">
        <v>1030</v>
      </c>
      <c r="C121" s="145">
        <f>129*49</f>
        <v>6321</v>
      </c>
      <c r="D121" s="145"/>
      <c r="E121" s="145"/>
      <c r="F121" s="145"/>
      <c r="G121" s="661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1:17" s="146" customFormat="1" ht="12.75">
      <c r="A122" s="145"/>
      <c r="B122" s="438" t="s">
        <v>1031</v>
      </c>
      <c r="C122" s="145">
        <f>96*49</f>
        <v>4704</v>
      </c>
      <c r="D122" s="145"/>
      <c r="E122" s="145"/>
      <c r="F122" s="145"/>
      <c r="G122" s="661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1:17" s="146" customFormat="1" ht="12.75">
      <c r="A123" s="145"/>
      <c r="B123" s="145"/>
      <c r="C123" s="145"/>
      <c r="D123" s="145"/>
      <c r="E123" s="145"/>
      <c r="F123" s="145"/>
      <c r="G123" s="661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1:17" s="146" customFormat="1" ht="12.75">
      <c r="A124" s="145"/>
      <c r="B124" s="438" t="s">
        <v>762</v>
      </c>
      <c r="C124" s="145">
        <f>350*49</f>
        <v>17150</v>
      </c>
      <c r="D124" s="145"/>
      <c r="E124" s="145"/>
      <c r="F124" s="145"/>
      <c r="G124" s="661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1:17" s="146" customFormat="1" ht="12.75">
      <c r="A125" s="145"/>
      <c r="B125" s="438" t="s">
        <v>686</v>
      </c>
      <c r="C125" s="145">
        <f>476*49</f>
        <v>23324</v>
      </c>
      <c r="D125" s="145"/>
      <c r="E125" s="145"/>
      <c r="F125" s="145"/>
      <c r="G125" s="661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1:17" s="146" customFormat="1" ht="25.5">
      <c r="A126" s="145"/>
      <c r="B126" s="438" t="s">
        <v>687</v>
      </c>
      <c r="C126" s="145"/>
      <c r="D126" s="145"/>
      <c r="E126" s="145"/>
      <c r="F126" s="145"/>
      <c r="G126" s="661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1:17" s="146" customFormat="1" ht="12.75">
      <c r="A127" s="145"/>
      <c r="B127" s="438" t="s">
        <v>688</v>
      </c>
      <c r="C127" s="145">
        <v>0</v>
      </c>
      <c r="D127" s="145"/>
      <c r="E127" s="145"/>
      <c r="F127" s="145"/>
      <c r="G127" s="661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1:17" s="146" customFormat="1" ht="12.7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="145" customFormat="1" ht="12.75">
      <c r="B129" s="437" t="s">
        <v>254</v>
      </c>
    </row>
    <row r="130" s="145" customFormat="1" ht="12.75">
      <c r="B130" s="145" t="s">
        <v>351</v>
      </c>
    </row>
    <row r="131" spans="2:3" s="145" customFormat="1" ht="12.75">
      <c r="B131" s="145" t="s">
        <v>255</v>
      </c>
      <c r="C131" s="145" t="s">
        <v>352</v>
      </c>
    </row>
    <row r="132" spans="2:3" s="145" customFormat="1" ht="12.75">
      <c r="B132" s="751" t="s">
        <v>353</v>
      </c>
      <c r="C132" s="751"/>
    </row>
    <row r="133" spans="2:3" s="145" customFormat="1" ht="12.75">
      <c r="B133" s="733" t="s">
        <v>729</v>
      </c>
      <c r="C133" s="733"/>
    </row>
    <row r="134" spans="1:17" s="146" customFormat="1" ht="12.7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1:17" s="146" customFormat="1" ht="12.7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1:17" s="146" customFormat="1" ht="12.7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1:17" s="146" customFormat="1" ht="12.7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1:17" s="146" customFormat="1" ht="12.7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1:17" s="146" customFormat="1" ht="12.7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1:17" s="146" customFormat="1" ht="12.7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1:17" s="146" customFormat="1" ht="12.7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1:17" s="146" customFormat="1" ht="12.7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1:17" s="146" customFormat="1" ht="12.7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1:17" s="146" customFormat="1" ht="12.7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1:17" s="146" customFormat="1" ht="12.7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1:17" s="146" customFormat="1" ht="12.7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1:17" s="146" customFormat="1" ht="12.7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1:17" s="146" customFormat="1" ht="12.7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1:17" s="146" customFormat="1" ht="12.7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1:17" s="146" customFormat="1" ht="12.75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1:17" s="146" customFormat="1" ht="12.75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1:17" s="468" customFormat="1" ht="12.75">
      <c r="A152" s="467"/>
      <c r="B152" s="467"/>
      <c r="C152" s="467"/>
      <c r="D152" s="467"/>
      <c r="E152" s="467"/>
      <c r="F152" s="467"/>
      <c r="G152" s="467"/>
      <c r="H152" s="467"/>
      <c r="I152" s="467"/>
      <c r="J152" s="467"/>
      <c r="K152" s="467"/>
      <c r="L152" s="467"/>
      <c r="M152" s="467"/>
      <c r="N152" s="467"/>
      <c r="O152" s="467"/>
      <c r="P152" s="467"/>
      <c r="Q152" s="467"/>
    </row>
    <row r="153" spans="1:17" s="468" customFormat="1" ht="12.75">
      <c r="A153" s="467"/>
      <c r="B153" s="467"/>
      <c r="C153" s="467"/>
      <c r="D153" s="467"/>
      <c r="E153" s="467"/>
      <c r="F153" s="467"/>
      <c r="G153" s="467"/>
      <c r="H153" s="467"/>
      <c r="I153" s="467"/>
      <c r="J153" s="467"/>
      <c r="K153" s="467"/>
      <c r="L153" s="467"/>
      <c r="M153" s="467"/>
      <c r="N153" s="467"/>
      <c r="O153" s="467"/>
      <c r="P153" s="467"/>
      <c r="Q153" s="467"/>
    </row>
    <row r="154" spans="1:17" s="468" customFormat="1" ht="12.75">
      <c r="A154" s="467"/>
      <c r="B154" s="467"/>
      <c r="C154" s="467"/>
      <c r="D154" s="467"/>
      <c r="E154" s="467"/>
      <c r="F154" s="467"/>
      <c r="G154" s="467"/>
      <c r="H154" s="467"/>
      <c r="I154" s="467"/>
      <c r="J154" s="467"/>
      <c r="K154" s="467"/>
      <c r="L154" s="467"/>
      <c r="M154" s="467"/>
      <c r="N154" s="467"/>
      <c r="O154" s="467"/>
      <c r="P154" s="467"/>
      <c r="Q154" s="467"/>
    </row>
    <row r="155" spans="1:17" s="468" customFormat="1" ht="12.75">
      <c r="A155" s="467"/>
      <c r="B155" s="467"/>
      <c r="C155" s="467"/>
      <c r="D155" s="467"/>
      <c r="E155" s="467"/>
      <c r="F155" s="467"/>
      <c r="G155" s="467"/>
      <c r="H155" s="467"/>
      <c r="I155" s="467"/>
      <c r="J155" s="467"/>
      <c r="K155" s="467"/>
      <c r="L155" s="467"/>
      <c r="M155" s="467"/>
      <c r="N155" s="467"/>
      <c r="O155" s="467"/>
      <c r="P155" s="467"/>
      <c r="Q155" s="467"/>
    </row>
    <row r="156" spans="1:17" s="146" customFormat="1" ht="12.75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1:17" s="146" customFormat="1" ht="12.7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1:17" s="146" customFormat="1" ht="12.7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1:17" s="146" customFormat="1" ht="12.75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1:17" s="146" customFormat="1" ht="12.75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1:17" s="146" customFormat="1" ht="12.7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1:17" s="146" customFormat="1" ht="12.75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1:17" s="146" customFormat="1" ht="12.75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1:17" s="146" customFormat="1" ht="12.75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1:17" s="146" customFormat="1" ht="12.7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1:17" s="146" customFormat="1" ht="12.7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1:17" s="146" customFormat="1" ht="12.75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1:17" s="146" customFormat="1" ht="12.75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1:17" s="146" customFormat="1" ht="12.75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1:17" s="146" customFormat="1" ht="12.7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1:17" s="146" customFormat="1" ht="12.7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1:17" s="146" customFormat="1" ht="12.75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1:17" s="146" customFormat="1" ht="12.75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1:17" s="146" customFormat="1" ht="12.7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1:17" s="146" customFormat="1" ht="12.75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1:17" s="146" customFormat="1" ht="12.75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1:17" s="146" customFormat="1" ht="12.7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1:17" s="146" customFormat="1" ht="12.75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1:17" s="146" customFormat="1" ht="12.7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1:17" s="146" customFormat="1" ht="12.75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1:17" s="146" customFormat="1" ht="12.75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</sheetData>
  <sheetProtection selectLockedCells="1"/>
  <mergeCells count="26">
    <mergeCell ref="A1:H1"/>
    <mergeCell ref="A2:H2"/>
    <mergeCell ref="I46:J46"/>
    <mergeCell ref="K46:L46"/>
    <mergeCell ref="I41:M41"/>
    <mergeCell ref="I40:M40"/>
    <mergeCell ref="I28:M28"/>
    <mergeCell ref="I33:M33"/>
    <mergeCell ref="I32:M32"/>
    <mergeCell ref="I38:M38"/>
    <mergeCell ref="I36:M36"/>
    <mergeCell ref="B45:F45"/>
    <mergeCell ref="I45:J45"/>
    <mergeCell ref="I35:M35"/>
    <mergeCell ref="I37:M37"/>
    <mergeCell ref="I39:M39"/>
    <mergeCell ref="B133:C133"/>
    <mergeCell ref="I47:J47"/>
    <mergeCell ref="I52:J52"/>
    <mergeCell ref="I69:N69"/>
    <mergeCell ref="C70:F70"/>
    <mergeCell ref="I70:M70"/>
    <mergeCell ref="I49:N49"/>
    <mergeCell ref="I50:N50"/>
    <mergeCell ref="C49:F49"/>
    <mergeCell ref="B132:C132"/>
  </mergeCells>
  <hyperlinks>
    <hyperlink ref="C100" r:id="rId1" display="info@Armhitec.com"/>
    <hyperlink ref="C101" r:id="rId2" display="cctv@b95.ru"/>
    <hyperlink ref="C80" r:id="rId3" display="www.Armhitec.com 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X59"/>
  <sheetViews>
    <sheetView zoomScale="115" zoomScaleNormal="115" zoomScaleSheetLayoutView="100" zoomScalePageLayoutView="0" workbookViewId="0" topLeftCell="A1">
      <selection activeCell="G16" sqref="G16:H16"/>
    </sheetView>
  </sheetViews>
  <sheetFormatPr defaultColWidth="9.00390625" defaultRowHeight="12.75"/>
  <cols>
    <col min="1" max="1" width="10.125" style="0" customWidth="1"/>
    <col min="2" max="3" width="11.125" style="0" customWidth="1"/>
    <col min="4" max="4" width="28.875" style="0" customWidth="1"/>
    <col min="5" max="5" width="3.625" style="0" customWidth="1"/>
    <col min="6" max="6" width="22.125" style="0" customWidth="1"/>
    <col min="7" max="7" width="12.625" style="0" customWidth="1"/>
    <col min="8" max="8" width="13.75390625" style="0" customWidth="1"/>
    <col min="9" max="9" width="8.75390625" style="0" customWidth="1"/>
    <col min="10" max="10" width="23.375" style="0" customWidth="1"/>
    <col min="11" max="17" width="9.125" style="49" customWidth="1"/>
  </cols>
  <sheetData>
    <row r="1" spans="1:11" ht="21" customHeight="1">
      <c r="A1" s="1272" t="s">
        <v>1026</v>
      </c>
      <c r="B1" s="1272"/>
      <c r="C1" s="1272"/>
      <c r="D1" s="1272"/>
      <c r="E1" s="94"/>
      <c r="F1" s="1258" t="s">
        <v>1027</v>
      </c>
      <c r="G1" s="1009" t="s">
        <v>183</v>
      </c>
      <c r="H1" s="1009"/>
      <c r="I1" s="1009"/>
      <c r="J1" s="1009"/>
      <c r="K1" s="54"/>
    </row>
    <row r="2" spans="1:10" ht="23.25" customHeight="1">
      <c r="A2" s="1004" t="s">
        <v>696</v>
      </c>
      <c r="B2" s="1004"/>
      <c r="C2" s="1004" t="s">
        <v>459</v>
      </c>
      <c r="D2" s="1004"/>
      <c r="E2" s="127"/>
      <c r="F2" s="1258"/>
      <c r="G2" s="1009"/>
      <c r="H2" s="1009"/>
      <c r="I2" s="1009"/>
      <c r="J2" s="1009"/>
    </row>
    <row r="3" spans="1:10" ht="18" customHeight="1">
      <c r="A3" s="417" t="s">
        <v>697</v>
      </c>
      <c r="B3" s="207" t="s">
        <v>522</v>
      </c>
      <c r="C3" s="1052" t="s">
        <v>257</v>
      </c>
      <c r="D3" s="1052"/>
      <c r="E3" s="355"/>
      <c r="F3" s="1259"/>
      <c r="G3" s="207"/>
      <c r="H3" s="208" t="s">
        <v>122</v>
      </c>
      <c r="I3" s="1037" t="s">
        <v>170</v>
      </c>
      <c r="J3" s="1037"/>
    </row>
    <row r="4" spans="1:22" s="1" customFormat="1" ht="3.75" customHeight="1">
      <c r="A4" s="31"/>
      <c r="B4" s="34"/>
      <c r="C4" s="152"/>
      <c r="D4" s="152"/>
      <c r="E4" s="152"/>
      <c r="F4" s="152"/>
      <c r="G4" s="177"/>
      <c r="H4" s="149"/>
      <c r="I4" s="149"/>
      <c r="J4" s="149"/>
      <c r="K4" s="149"/>
      <c r="L4" s="52"/>
      <c r="M4" s="52"/>
      <c r="N4" s="7"/>
      <c r="O4" s="22"/>
      <c r="P4" s="22"/>
      <c r="Q4" s="22"/>
      <c r="R4" s="7"/>
      <c r="S4" s="7"/>
      <c r="T4" s="7"/>
      <c r="U4" s="7"/>
      <c r="V4" s="7"/>
    </row>
    <row r="5" spans="1:22" s="1" customFormat="1" ht="12" customHeight="1">
      <c r="A5" s="315" t="s">
        <v>121</v>
      </c>
      <c r="B5" s="721" t="s">
        <v>1043</v>
      </c>
      <c r="C5" s="721"/>
      <c r="D5" s="155" t="s">
        <v>564</v>
      </c>
      <c r="E5" s="1004" t="str">
        <f>CONCATENATE('Заявка стр. 1'!B3)</f>
        <v>АО "Научно-производственный центр "Вигстар"</v>
      </c>
      <c r="F5" s="1004"/>
      <c r="G5" s="1004"/>
      <c r="H5" s="1004"/>
      <c r="I5" s="686" t="s">
        <v>272</v>
      </c>
      <c r="J5" s="291"/>
      <c r="K5" s="7"/>
      <c r="L5" s="7"/>
      <c r="M5" s="7"/>
      <c r="N5" s="161"/>
      <c r="O5" s="7"/>
      <c r="P5" s="7"/>
      <c r="Q5" s="7"/>
      <c r="R5" s="7"/>
      <c r="S5" s="7"/>
      <c r="T5" s="7"/>
      <c r="U5" s="7"/>
      <c r="V5" s="7"/>
    </row>
    <row r="6" spans="1:14" s="7" customFormat="1" ht="2.25" customHeight="1">
      <c r="A6" s="193"/>
      <c r="B6" s="194"/>
      <c r="C6" s="165"/>
      <c r="D6" s="155"/>
      <c r="E6" s="1004"/>
      <c r="F6" s="1004"/>
      <c r="G6" s="1004"/>
      <c r="H6" s="1004"/>
      <c r="I6" s="161"/>
      <c r="J6" s="157"/>
      <c r="N6" s="161"/>
    </row>
    <row r="7" spans="1:22" s="1" customFormat="1" ht="12" customHeight="1">
      <c r="A7" s="1112" t="s">
        <v>817</v>
      </c>
      <c r="B7" s="1112"/>
      <c r="C7" s="1112"/>
      <c r="D7" s="174"/>
      <c r="E7" s="1254"/>
      <c r="F7" s="1254"/>
      <c r="G7" s="1254"/>
      <c r="H7" s="1254"/>
      <c r="I7" s="153" t="s">
        <v>713</v>
      </c>
      <c r="J7" s="291">
        <v>0</v>
      </c>
      <c r="K7" s="7"/>
      <c r="L7" s="7"/>
      <c r="M7" s="7"/>
      <c r="N7" s="161"/>
      <c r="O7" s="7"/>
      <c r="P7" s="7"/>
      <c r="Q7" s="7"/>
      <c r="R7" s="7"/>
      <c r="S7" s="7"/>
      <c r="T7" s="7"/>
      <c r="U7" s="7"/>
      <c r="V7" s="7"/>
    </row>
    <row r="8" spans="1:14" s="7" customFormat="1" ht="2.25" customHeight="1">
      <c r="A8" s="166"/>
      <c r="B8" s="164"/>
      <c r="C8" s="167"/>
      <c r="D8" s="157"/>
      <c r="I8" s="154"/>
      <c r="J8" s="180"/>
      <c r="N8" s="161"/>
    </row>
    <row r="9" spans="1:22" s="1" customFormat="1" ht="12" customHeight="1">
      <c r="A9" s="170" t="s">
        <v>982</v>
      </c>
      <c r="B9" s="724" t="s">
        <v>182</v>
      </c>
      <c r="C9" s="724"/>
      <c r="D9" s="155" t="s">
        <v>977</v>
      </c>
      <c r="E9" s="871" t="s">
        <v>1014</v>
      </c>
      <c r="F9" s="871"/>
      <c r="G9" s="871"/>
      <c r="H9" s="871"/>
      <c r="I9" s="153" t="s">
        <v>979</v>
      </c>
      <c r="J9" s="291">
        <v>0</v>
      </c>
      <c r="K9" s="7"/>
      <c r="L9" s="7"/>
      <c r="M9" s="7"/>
      <c r="N9" s="161"/>
      <c r="O9" s="7"/>
      <c r="P9" s="7"/>
      <c r="Q9" s="7"/>
      <c r="R9" s="7"/>
      <c r="S9" s="7"/>
      <c r="T9" s="7"/>
      <c r="U9" s="7"/>
      <c r="V9" s="7"/>
    </row>
    <row r="10" spans="1:14" s="7" customFormat="1" ht="2.25" customHeight="1">
      <c r="A10" s="166"/>
      <c r="B10" s="164"/>
      <c r="C10" s="164"/>
      <c r="D10" s="160"/>
      <c r="I10" s="154"/>
      <c r="J10" s="180"/>
      <c r="N10" s="161"/>
    </row>
    <row r="11" spans="1:22" s="1" customFormat="1" ht="12" customHeight="1">
      <c r="A11" s="170" t="s">
        <v>595</v>
      </c>
      <c r="B11" s="1162" t="s">
        <v>58</v>
      </c>
      <c r="C11" s="1239"/>
      <c r="D11" s="173" t="s">
        <v>978</v>
      </c>
      <c r="E11" s="871" t="s">
        <v>1014</v>
      </c>
      <c r="F11" s="871"/>
      <c r="G11" s="871"/>
      <c r="H11" s="871"/>
      <c r="I11" s="153"/>
      <c r="J11" s="180"/>
      <c r="L11" s="7"/>
      <c r="M11" s="7"/>
      <c r="N11" s="161"/>
      <c r="O11" s="7"/>
      <c r="P11" s="7"/>
      <c r="Q11" s="7"/>
      <c r="R11" s="7"/>
      <c r="S11" s="7"/>
      <c r="T11" s="7"/>
      <c r="U11" s="7"/>
      <c r="V11" s="7"/>
    </row>
    <row r="12" spans="1:22" s="1" customFormat="1" ht="4.5" customHeight="1">
      <c r="A12" s="203"/>
      <c r="B12" s="204"/>
      <c r="C12" s="204"/>
      <c r="D12" s="204"/>
      <c r="E12" s="203"/>
      <c r="F12" s="205"/>
      <c r="G12" s="202"/>
      <c r="H12" s="202"/>
      <c r="I12" s="213"/>
      <c r="J12" s="202"/>
      <c r="K12" s="182"/>
      <c r="L12" s="153"/>
      <c r="M12" s="180"/>
      <c r="N12" s="161"/>
      <c r="O12" s="22"/>
      <c r="P12" s="22"/>
      <c r="Q12" s="70"/>
      <c r="R12" s="7"/>
      <c r="S12" s="7"/>
      <c r="T12" s="7"/>
      <c r="U12" s="7"/>
      <c r="V12" s="7"/>
    </row>
    <row r="13" spans="1:10" ht="50.25" customHeight="1">
      <c r="A13" s="663"/>
      <c r="B13" s="663"/>
      <c r="C13" s="663"/>
      <c r="D13" s="1283" t="s">
        <v>524</v>
      </c>
      <c r="E13" s="1283"/>
      <c r="F13" s="1283"/>
      <c r="G13" s="663"/>
      <c r="H13" s="663"/>
      <c r="I13" s="663"/>
      <c r="J13" s="663"/>
    </row>
    <row r="14" spans="1:17" ht="33" customHeight="1">
      <c r="A14" s="595" t="s">
        <v>675</v>
      </c>
      <c r="B14" s="1274" t="s">
        <v>1044</v>
      </c>
      <c r="C14" s="1275"/>
      <c r="D14" s="1275"/>
      <c r="E14" s="1276"/>
      <c r="F14" s="596" t="s">
        <v>883</v>
      </c>
      <c r="G14" s="1274" t="s">
        <v>1045</v>
      </c>
      <c r="H14" s="1276"/>
      <c r="I14" s="1257" t="s">
        <v>948</v>
      </c>
      <c r="J14" s="1257"/>
      <c r="P14"/>
      <c r="Q14"/>
    </row>
    <row r="15" spans="1:15" s="599" customFormat="1" ht="12.75">
      <c r="A15" s="597">
        <v>1</v>
      </c>
      <c r="B15" s="1269">
        <v>2</v>
      </c>
      <c r="C15" s="1270"/>
      <c r="D15" s="1270"/>
      <c r="E15" s="1271"/>
      <c r="F15" s="597">
        <v>3</v>
      </c>
      <c r="G15" s="1269">
        <v>4</v>
      </c>
      <c r="H15" s="1271"/>
      <c r="I15" s="1281">
        <v>5</v>
      </c>
      <c r="J15" s="1281"/>
      <c r="K15" s="598"/>
      <c r="L15" s="598"/>
      <c r="M15" s="598"/>
      <c r="N15" s="598"/>
      <c r="O15" s="598"/>
    </row>
    <row r="16" spans="1:15" s="25" customFormat="1" ht="15" customHeight="1">
      <c r="A16" s="421"/>
      <c r="B16" s="1264"/>
      <c r="C16" s="1268"/>
      <c r="D16" s="1268"/>
      <c r="E16" s="1265"/>
      <c r="F16" s="421"/>
      <c r="G16" s="1264"/>
      <c r="H16" s="1265"/>
      <c r="I16" s="1282"/>
      <c r="J16" s="1282"/>
      <c r="K16" s="116"/>
      <c r="L16" s="116"/>
      <c r="M16" s="116"/>
      <c r="N16" s="116"/>
      <c r="O16" s="116"/>
    </row>
    <row r="17" spans="1:15" s="25" customFormat="1" ht="14.25" customHeight="1">
      <c r="A17" s="421"/>
      <c r="B17" s="1264"/>
      <c r="C17" s="1268"/>
      <c r="D17" s="1268"/>
      <c r="E17" s="1265"/>
      <c r="F17" s="421"/>
      <c r="G17" s="1264"/>
      <c r="H17" s="1265"/>
      <c r="I17" s="1282"/>
      <c r="J17" s="1282"/>
      <c r="K17" s="116"/>
      <c r="L17" s="116"/>
      <c r="M17" s="116"/>
      <c r="N17" s="116"/>
      <c r="O17" s="116"/>
    </row>
    <row r="18" spans="1:15" s="25" customFormat="1" ht="12.75">
      <c r="A18" s="421"/>
      <c r="B18" s="1264"/>
      <c r="C18" s="1268"/>
      <c r="D18" s="1268"/>
      <c r="E18" s="1265"/>
      <c r="F18" s="421"/>
      <c r="G18" s="1264"/>
      <c r="H18" s="1265"/>
      <c r="I18" s="1282"/>
      <c r="J18" s="1282"/>
      <c r="K18" s="116"/>
      <c r="L18" s="116"/>
      <c r="M18" s="116"/>
      <c r="N18" s="116"/>
      <c r="O18" s="116"/>
    </row>
    <row r="19" spans="1:15" s="25" customFormat="1" ht="12.75">
      <c r="A19" s="421"/>
      <c r="B19" s="1264"/>
      <c r="C19" s="1268"/>
      <c r="D19" s="1268"/>
      <c r="E19" s="1265"/>
      <c r="F19" s="421"/>
      <c r="G19" s="1264"/>
      <c r="H19" s="1265"/>
      <c r="I19" s="1266"/>
      <c r="J19" s="1267"/>
      <c r="K19" s="116"/>
      <c r="L19" s="116"/>
      <c r="M19" s="116"/>
      <c r="N19" s="116"/>
      <c r="O19" s="116"/>
    </row>
    <row r="20" spans="1:15" s="25" customFormat="1" ht="12.75">
      <c r="A20" s="421"/>
      <c r="B20" s="1264"/>
      <c r="C20" s="1268"/>
      <c r="D20" s="1268"/>
      <c r="E20" s="1265"/>
      <c r="F20" s="421"/>
      <c r="G20" s="1264"/>
      <c r="H20" s="1265"/>
      <c r="I20" s="1266"/>
      <c r="J20" s="1267"/>
      <c r="K20" s="116"/>
      <c r="L20" s="116"/>
      <c r="M20" s="116"/>
      <c r="N20" s="116"/>
      <c r="O20" s="116"/>
    </row>
    <row r="21" spans="1:15" s="25" customFormat="1" ht="12.75">
      <c r="A21" s="421"/>
      <c r="B21" s="1264"/>
      <c r="C21" s="1268"/>
      <c r="D21" s="1268"/>
      <c r="E21" s="1265"/>
      <c r="F21" s="421"/>
      <c r="G21" s="1264"/>
      <c r="H21" s="1265"/>
      <c r="I21" s="1266"/>
      <c r="J21" s="1267"/>
      <c r="K21" s="116"/>
      <c r="L21" s="116"/>
      <c r="M21" s="116"/>
      <c r="N21" s="116"/>
      <c r="O21" s="116"/>
    </row>
    <row r="22" spans="1:15" s="25" customFormat="1" ht="12.75">
      <c r="A22" s="421"/>
      <c r="B22" s="1264"/>
      <c r="C22" s="1268"/>
      <c r="D22" s="1268"/>
      <c r="E22" s="1265"/>
      <c r="F22" s="421"/>
      <c r="G22" s="1264"/>
      <c r="H22" s="1265"/>
      <c r="I22" s="1266"/>
      <c r="J22" s="1267"/>
      <c r="K22" s="116"/>
      <c r="L22" s="116"/>
      <c r="M22" s="116"/>
      <c r="N22" s="116"/>
      <c r="O22" s="116"/>
    </row>
    <row r="23" spans="1:15" s="25" customFormat="1" ht="12.75">
      <c r="A23" s="421"/>
      <c r="B23" s="1264"/>
      <c r="C23" s="1268"/>
      <c r="D23" s="1268"/>
      <c r="E23" s="1265"/>
      <c r="F23" s="421"/>
      <c r="G23" s="1264"/>
      <c r="H23" s="1265"/>
      <c r="I23" s="1266"/>
      <c r="J23" s="1267"/>
      <c r="K23" s="116"/>
      <c r="L23" s="116"/>
      <c r="M23" s="116"/>
      <c r="N23" s="116"/>
      <c r="O23" s="116"/>
    </row>
    <row r="24" spans="1:15" s="25" customFormat="1" ht="12.75">
      <c r="A24" s="421"/>
      <c r="B24" s="1264"/>
      <c r="C24" s="1268"/>
      <c r="D24" s="1268"/>
      <c r="E24" s="1265"/>
      <c r="F24" s="421"/>
      <c r="G24" s="1264"/>
      <c r="H24" s="1265"/>
      <c r="I24" s="1266"/>
      <c r="J24" s="1267"/>
      <c r="K24" s="116"/>
      <c r="L24" s="116"/>
      <c r="M24" s="116"/>
      <c r="N24" s="116"/>
      <c r="O24" s="116"/>
    </row>
    <row r="25" spans="1:15" s="25" customFormat="1" ht="12.75">
      <c r="A25" s="421"/>
      <c r="B25" s="1264"/>
      <c r="C25" s="1268"/>
      <c r="D25" s="1268"/>
      <c r="E25" s="1265"/>
      <c r="F25" s="421"/>
      <c r="G25" s="1264"/>
      <c r="H25" s="1265"/>
      <c r="I25" s="1266"/>
      <c r="J25" s="1267"/>
      <c r="K25" s="116"/>
      <c r="L25" s="116"/>
      <c r="M25" s="116"/>
      <c r="N25" s="116"/>
      <c r="O25" s="116"/>
    </row>
    <row r="26" spans="1:15" s="25" customFormat="1" ht="12.75">
      <c r="A26" s="421"/>
      <c r="B26" s="1264"/>
      <c r="C26" s="1268"/>
      <c r="D26" s="1268"/>
      <c r="E26" s="1265"/>
      <c r="F26" s="421"/>
      <c r="G26" s="1264"/>
      <c r="H26" s="1265"/>
      <c r="I26" s="1266"/>
      <c r="J26" s="1267"/>
      <c r="K26" s="116"/>
      <c r="L26" s="116"/>
      <c r="M26" s="116"/>
      <c r="N26" s="116"/>
      <c r="O26" s="116"/>
    </row>
    <row r="27" spans="1:15" s="25" customFormat="1" ht="12.75">
      <c r="A27" s="421"/>
      <c r="B27" s="1264"/>
      <c r="C27" s="1268"/>
      <c r="D27" s="1268"/>
      <c r="E27" s="1265"/>
      <c r="F27" s="421"/>
      <c r="G27" s="1264"/>
      <c r="H27" s="1265"/>
      <c r="I27" s="1266"/>
      <c r="J27" s="1267"/>
      <c r="K27" s="116"/>
      <c r="L27" s="116"/>
      <c r="M27" s="116"/>
      <c r="N27" s="116"/>
      <c r="O27" s="116"/>
    </row>
    <row r="28" spans="1:10" ht="9" customHeight="1">
      <c r="A28" s="50"/>
      <c r="B28" s="50"/>
      <c r="C28" s="50"/>
      <c r="D28" s="50"/>
      <c r="E28" s="50"/>
      <c r="F28" s="50"/>
      <c r="G28" s="50"/>
      <c r="H28" s="50"/>
      <c r="I28" s="49"/>
      <c r="J28" s="49"/>
    </row>
    <row r="29" spans="1:10" ht="12.75">
      <c r="A29" s="708" t="s">
        <v>564</v>
      </c>
      <c r="B29" s="708"/>
      <c r="C29" s="1"/>
      <c r="D29" s="7"/>
      <c r="E29" s="224"/>
      <c r="F29" s="224"/>
      <c r="G29" s="224"/>
      <c r="H29" s="224"/>
      <c r="I29" s="224"/>
      <c r="J29" s="353"/>
    </row>
    <row r="30" spans="1:10" ht="15.75" customHeight="1">
      <c r="A30" s="1014" t="str">
        <f>CONCATENATE('Заявка стр. 1'!B3)</f>
        <v>АО "Научно-производственный центр "Вигстар"</v>
      </c>
      <c r="B30" s="1014"/>
      <c r="C30" s="1014"/>
      <c r="D30" s="1014"/>
      <c r="E30" s="1014"/>
      <c r="F30" s="1014"/>
      <c r="G30" s="1014"/>
      <c r="H30" s="1014"/>
      <c r="I30" s="1014"/>
      <c r="J30" s="1"/>
    </row>
    <row r="31" spans="1:10" ht="12.75">
      <c r="A31" s="803" t="str">
        <f>CONCATENATE('Заявка стр. 1'!B17)</f>
        <v>Заместитель генерального директора по экономике и финансам</v>
      </c>
      <c r="B31" s="803"/>
      <c r="C31" s="803"/>
      <c r="D31" s="803"/>
      <c r="E31" s="803"/>
      <c r="F31" s="803"/>
      <c r="G31" s="803"/>
      <c r="H31" s="144"/>
      <c r="I31" s="144"/>
      <c r="J31" s="144"/>
    </row>
    <row r="32" spans="1:10" ht="12.75">
      <c r="A32" s="1127" t="str">
        <f>CONCATENATE('Заявка стр. 1'!A19)</f>
        <v>Короткевич Олег Иосифович</v>
      </c>
      <c r="B32" s="1127"/>
      <c r="C32" s="1127"/>
      <c r="D32" s="1127"/>
      <c r="E32" s="312"/>
      <c r="F32" s="312"/>
      <c r="G32" s="49"/>
      <c r="H32" s="820" t="s">
        <v>260</v>
      </c>
      <c r="I32" s="820"/>
      <c r="J32" s="820"/>
    </row>
    <row r="33" spans="1:10" ht="12.75">
      <c r="A33" s="43"/>
      <c r="B33" s="43"/>
      <c r="C33" s="313"/>
      <c r="D33" s="1253" t="s">
        <v>991</v>
      </c>
      <c r="E33" s="1253"/>
      <c r="F33" s="1253"/>
      <c r="G33" s="314"/>
      <c r="H33" s="314"/>
      <c r="I33" s="314"/>
      <c r="J33" s="144"/>
    </row>
    <row r="34" spans="1:10" ht="39.75" customHeight="1">
      <c r="A34" s="1278" t="s">
        <v>603</v>
      </c>
      <c r="B34" s="1279"/>
      <c r="C34" s="1279"/>
      <c r="D34" s="1279"/>
      <c r="E34" s="1279"/>
      <c r="F34" s="1279"/>
      <c r="G34" s="1279"/>
      <c r="H34" s="1279"/>
      <c r="I34" s="1279"/>
      <c r="J34" s="1279"/>
    </row>
    <row r="35" spans="1:10" ht="13.5" customHeight="1">
      <c r="A35" s="1284" t="s">
        <v>604</v>
      </c>
      <c r="B35" s="1284"/>
      <c r="C35" s="1284"/>
      <c r="D35" s="1284"/>
      <c r="E35" s="1284"/>
      <c r="F35" s="1284"/>
      <c r="G35" s="1284"/>
      <c r="H35" s="1284"/>
      <c r="I35" s="1284"/>
      <c r="J35" s="1284"/>
    </row>
    <row r="36" spans="1:10" ht="14.25" customHeight="1">
      <c r="A36" s="1284" t="s">
        <v>605</v>
      </c>
      <c r="B36" s="1284"/>
      <c r="C36" s="1284"/>
      <c r="D36" s="1284"/>
      <c r="E36" s="1284"/>
      <c r="F36" s="1284"/>
      <c r="G36" s="1284"/>
      <c r="H36" s="1284"/>
      <c r="I36" s="1284"/>
      <c r="J36" s="1284"/>
    </row>
    <row r="37" spans="1:10" ht="12.75">
      <c r="A37" s="49" t="s">
        <v>601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2.75">
      <c r="A38" s="49" t="s">
        <v>602</v>
      </c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2.75">
      <c r="A39" s="49" t="s">
        <v>931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.7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409.5" customHeight="1">
      <c r="A42" s="1277"/>
      <c r="B42" s="1277"/>
      <c r="C42" s="1277"/>
      <c r="D42" s="1277"/>
      <c r="E42" s="1277"/>
      <c r="F42" s="1277"/>
      <c r="G42" s="1277"/>
      <c r="H42" s="1277"/>
      <c r="I42" s="1277"/>
      <c r="J42" s="1277"/>
    </row>
    <row r="43" spans="1:10" ht="12.75">
      <c r="A43" s="1277"/>
      <c r="B43" s="1277"/>
      <c r="C43" s="1277"/>
      <c r="D43" s="1277"/>
      <c r="E43" s="1277"/>
      <c r="F43" s="1277"/>
      <c r="G43" s="1277"/>
      <c r="H43" s="1277"/>
      <c r="I43" s="1277"/>
      <c r="J43" s="1277"/>
    </row>
    <row r="44" spans="1:10" ht="12.75">
      <c r="A44" s="1277"/>
      <c r="B44" s="1277"/>
      <c r="C44" s="1277"/>
      <c r="D44" s="1277"/>
      <c r="E44" s="1277"/>
      <c r="F44" s="1277"/>
      <c r="G44" s="1277"/>
      <c r="H44" s="1277"/>
      <c r="I44" s="1277"/>
      <c r="J44" s="1277"/>
    </row>
    <row r="45" spans="1:10" ht="12.75">
      <c r="A45" s="1277"/>
      <c r="B45" s="1277"/>
      <c r="C45" s="1277"/>
      <c r="D45" s="1277"/>
      <c r="E45" s="1277"/>
      <c r="F45" s="1277"/>
      <c r="G45" s="1277"/>
      <c r="H45" s="1277"/>
      <c r="I45" s="1277"/>
      <c r="J45" s="1277"/>
    </row>
    <row r="46" spans="1:10" ht="12.75">
      <c r="A46" s="1277"/>
      <c r="B46" s="1277"/>
      <c r="C46" s="1277"/>
      <c r="D46" s="1277"/>
      <c r="E46" s="1277"/>
      <c r="F46" s="1277"/>
      <c r="G46" s="1277"/>
      <c r="H46" s="1277"/>
      <c r="I46" s="1277"/>
      <c r="J46" s="1277"/>
    </row>
    <row r="47" spans="1:10" ht="12.75">
      <c r="A47" s="1277"/>
      <c r="B47" s="1277"/>
      <c r="C47" s="1277"/>
      <c r="D47" s="1277"/>
      <c r="E47" s="1277"/>
      <c r="F47" s="1277"/>
      <c r="G47" s="1277"/>
      <c r="H47" s="1277"/>
      <c r="I47" s="1277"/>
      <c r="J47" s="1277"/>
    </row>
    <row r="48" spans="1:10" ht="12.75">
      <c r="A48" s="1277"/>
      <c r="B48" s="1277"/>
      <c r="C48" s="1277"/>
      <c r="D48" s="1277"/>
      <c r="E48" s="1277"/>
      <c r="F48" s="1277"/>
      <c r="G48" s="1277"/>
      <c r="H48" s="1277"/>
      <c r="I48" s="1277"/>
      <c r="J48" s="1277"/>
    </row>
    <row r="49" spans="1:10" ht="12.75">
      <c r="A49" s="1277"/>
      <c r="B49" s="1277"/>
      <c r="C49" s="1277"/>
      <c r="D49" s="1277"/>
      <c r="E49" s="1277"/>
      <c r="F49" s="1277"/>
      <c r="G49" s="1277"/>
      <c r="H49" s="1277"/>
      <c r="I49" s="1277"/>
      <c r="J49" s="1277"/>
    </row>
    <row r="50" spans="18:24" s="49" customFormat="1" ht="12.75">
      <c r="R50"/>
      <c r="S50"/>
      <c r="T50"/>
      <c r="U50"/>
      <c r="V50"/>
      <c r="W50"/>
      <c r="X50"/>
    </row>
    <row r="51" spans="18:24" s="49" customFormat="1" ht="12.75">
      <c r="R51"/>
      <c r="S51"/>
      <c r="T51"/>
      <c r="U51"/>
      <c r="V51"/>
      <c r="W51"/>
      <c r="X51"/>
    </row>
    <row r="52" spans="18:24" s="49" customFormat="1" ht="12.75">
      <c r="R52"/>
      <c r="S52"/>
      <c r="T52"/>
      <c r="U52"/>
      <c r="V52"/>
      <c r="W52"/>
      <c r="X52"/>
    </row>
    <row r="53" spans="18:24" s="49" customFormat="1" ht="12.75">
      <c r="R53"/>
      <c r="S53"/>
      <c r="T53"/>
      <c r="U53"/>
      <c r="V53"/>
      <c r="W53"/>
      <c r="X53"/>
    </row>
    <row r="54" spans="18:24" s="49" customFormat="1" ht="12.75">
      <c r="R54"/>
      <c r="S54"/>
      <c r="T54"/>
      <c r="U54"/>
      <c r="V54"/>
      <c r="W54"/>
      <c r="X54"/>
    </row>
    <row r="55" spans="18:24" s="49" customFormat="1" ht="12.75">
      <c r="R55"/>
      <c r="S55"/>
      <c r="T55"/>
      <c r="U55"/>
      <c r="V55"/>
      <c r="W55"/>
      <c r="X55"/>
    </row>
    <row r="56" spans="18:24" s="49" customFormat="1" ht="12.75">
      <c r="R56"/>
      <c r="S56"/>
      <c r="T56"/>
      <c r="U56"/>
      <c r="V56"/>
      <c r="W56"/>
      <c r="X56"/>
    </row>
    <row r="57" spans="18:24" s="49" customFormat="1" ht="12.75">
      <c r="R57"/>
      <c r="S57"/>
      <c r="T57"/>
      <c r="U57"/>
      <c r="V57"/>
      <c r="W57"/>
      <c r="X57"/>
    </row>
    <row r="58" spans="18:24" s="49" customFormat="1" ht="12.75">
      <c r="R58"/>
      <c r="S58"/>
      <c r="T58"/>
      <c r="U58"/>
      <c r="V58"/>
      <c r="W58"/>
      <c r="X58"/>
    </row>
    <row r="59" spans="18:24" s="49" customFormat="1" ht="12.75">
      <c r="R59"/>
      <c r="S59"/>
      <c r="T59"/>
      <c r="U59"/>
      <c r="V59"/>
      <c r="W59"/>
      <c r="X59"/>
    </row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</sheetData>
  <sheetProtection password="CC03" sheet="1" formatCells="0" formatRows="0" insertRows="0" selectLockedCells="1"/>
  <mergeCells count="67">
    <mergeCell ref="A35:J35"/>
    <mergeCell ref="B25:E25"/>
    <mergeCell ref="B18:E18"/>
    <mergeCell ref="B19:E19"/>
    <mergeCell ref="I22:J22"/>
    <mergeCell ref="B26:E26"/>
    <mergeCell ref="G25:H25"/>
    <mergeCell ref="G26:H26"/>
    <mergeCell ref="I20:J20"/>
    <mergeCell ref="I3:J3"/>
    <mergeCell ref="F1:F3"/>
    <mergeCell ref="A2:B2"/>
    <mergeCell ref="G1:J2"/>
    <mergeCell ref="A36:J36"/>
    <mergeCell ref="A32:D32"/>
    <mergeCell ref="D33:F33"/>
    <mergeCell ref="H32:J32"/>
    <mergeCell ref="B15:E15"/>
    <mergeCell ref="B16:E16"/>
    <mergeCell ref="D13:F13"/>
    <mergeCell ref="A1:D1"/>
    <mergeCell ref="B14:E14"/>
    <mergeCell ref="C3:D3"/>
    <mergeCell ref="B5:C5"/>
    <mergeCell ref="A7:C7"/>
    <mergeCell ref="B11:C11"/>
    <mergeCell ref="C2:D2"/>
    <mergeCell ref="E5:H7"/>
    <mergeCell ref="E9:H9"/>
    <mergeCell ref="E11:H11"/>
    <mergeCell ref="B22:E22"/>
    <mergeCell ref="B23:E23"/>
    <mergeCell ref="B24:E24"/>
    <mergeCell ref="B21:E21"/>
    <mergeCell ref="G14:H14"/>
    <mergeCell ref="G15:H15"/>
    <mergeCell ref="G16:H16"/>
    <mergeCell ref="G17:H17"/>
    <mergeCell ref="G24:H24"/>
    <mergeCell ref="B9:C9"/>
    <mergeCell ref="A42:J49"/>
    <mergeCell ref="G18:H18"/>
    <mergeCell ref="G19:H19"/>
    <mergeCell ref="G20:H20"/>
    <mergeCell ref="G21:H21"/>
    <mergeCell ref="G22:H22"/>
    <mergeCell ref="G23:H23"/>
    <mergeCell ref="A34:J34"/>
    <mergeCell ref="B20:E20"/>
    <mergeCell ref="A29:B29"/>
    <mergeCell ref="I14:J14"/>
    <mergeCell ref="I15:J15"/>
    <mergeCell ref="I16:J16"/>
    <mergeCell ref="I17:J17"/>
    <mergeCell ref="I18:J18"/>
    <mergeCell ref="I19:J19"/>
    <mergeCell ref="B17:E17"/>
    <mergeCell ref="B27:E27"/>
    <mergeCell ref="I21:J21"/>
    <mergeCell ref="A31:G31"/>
    <mergeCell ref="I26:J26"/>
    <mergeCell ref="I27:J27"/>
    <mergeCell ref="I23:J23"/>
    <mergeCell ref="I24:J24"/>
    <mergeCell ref="I25:J25"/>
    <mergeCell ref="A30:I30"/>
    <mergeCell ref="G27:H27"/>
  </mergeCells>
  <conditionalFormatting sqref="J29">
    <cfRule type="expression" priority="1" dxfId="67" stopIfTrue="1">
      <formula>OR($I$37&gt;0,$I$39&gt;0,#REF!&gt;0,$H$22&gt;0,#REF!&gt;0,#REF!&gt;0)</formula>
    </cfRule>
    <cfRule type="expression" priority="2" dxfId="65" stopIfTrue="1">
      <formula>AND(#REF!&lt;9,#REF!&lt;9)</formula>
    </cfRule>
  </conditionalFormatting>
  <conditionalFormatting sqref="J5 J7 J9 J11">
    <cfRule type="cellIs" priority="3" dxfId="65" operator="equal" stopIfTrue="1">
      <formula>0</formula>
    </cfRule>
  </conditionalFormatting>
  <hyperlinks>
    <hyperlink ref="B11" r:id="rId1" display="cctv@b95.ru"/>
  </hyperlink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93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X76"/>
  <sheetViews>
    <sheetView zoomScale="115" zoomScaleNormal="115" zoomScaleSheetLayoutView="100" zoomScalePageLayoutView="0" workbookViewId="0" topLeftCell="A1">
      <selection activeCell="F23" sqref="F23:H23"/>
    </sheetView>
  </sheetViews>
  <sheetFormatPr defaultColWidth="9.00390625" defaultRowHeight="12.75"/>
  <cols>
    <col min="1" max="1" width="10.125" style="0" customWidth="1"/>
    <col min="2" max="2" width="35.25390625" style="0" customWidth="1"/>
    <col min="3" max="3" width="12.625" style="0" customWidth="1"/>
    <col min="4" max="4" width="15.00390625" style="0" customWidth="1"/>
    <col min="5" max="5" width="19.625" style="0" customWidth="1"/>
    <col min="6" max="6" width="12.625" style="0" customWidth="1"/>
    <col min="7" max="7" width="0.74609375" style="0" customWidth="1"/>
    <col min="8" max="8" width="8.625" style="0" customWidth="1"/>
    <col min="9" max="9" width="9.25390625" style="0" customWidth="1"/>
    <col min="10" max="10" width="23.25390625" style="0" customWidth="1"/>
    <col min="11" max="17" width="9.125" style="49" customWidth="1"/>
  </cols>
  <sheetData>
    <row r="1" spans="1:11" ht="21" customHeight="1">
      <c r="A1" s="1272" t="s">
        <v>286</v>
      </c>
      <c r="B1" s="1272"/>
      <c r="C1" s="1272"/>
      <c r="D1" s="1272"/>
      <c r="E1" s="1258" t="s">
        <v>401</v>
      </c>
      <c r="F1" s="1009" t="s">
        <v>183</v>
      </c>
      <c r="G1" s="1009"/>
      <c r="H1" s="1009"/>
      <c r="I1" s="1009"/>
      <c r="J1" s="1009"/>
      <c r="K1" s="54"/>
    </row>
    <row r="2" spans="1:10" ht="23.25" customHeight="1">
      <c r="A2" s="1004" t="s">
        <v>696</v>
      </c>
      <c r="B2" s="1004"/>
      <c r="C2" s="1004" t="s">
        <v>459</v>
      </c>
      <c r="D2" s="1004"/>
      <c r="E2" s="1258"/>
      <c r="F2" s="1009"/>
      <c r="G2" s="1009"/>
      <c r="H2" s="1009"/>
      <c r="I2" s="1009"/>
      <c r="J2" s="1009"/>
    </row>
    <row r="3" spans="1:10" ht="18" customHeight="1">
      <c r="A3" s="417" t="s">
        <v>697</v>
      </c>
      <c r="B3" s="207" t="s">
        <v>522</v>
      </c>
      <c r="C3" s="1052" t="s">
        <v>257</v>
      </c>
      <c r="D3" s="1052"/>
      <c r="E3" s="1259"/>
      <c r="F3" s="207"/>
      <c r="G3" s="207"/>
      <c r="H3" s="208" t="s">
        <v>122</v>
      </c>
      <c r="I3" s="1037" t="s">
        <v>170</v>
      </c>
      <c r="J3" s="1037"/>
    </row>
    <row r="4" spans="1:22" s="1" customFormat="1" ht="3.75" customHeight="1">
      <c r="A4" s="31"/>
      <c r="B4" s="34"/>
      <c r="C4" s="152"/>
      <c r="D4" s="152"/>
      <c r="E4" s="152"/>
      <c r="F4" s="177"/>
      <c r="G4" s="177"/>
      <c r="H4" s="149"/>
      <c r="I4" s="149"/>
      <c r="J4" s="149"/>
      <c r="K4" s="149"/>
      <c r="L4" s="52"/>
      <c r="M4" s="52"/>
      <c r="N4" s="7"/>
      <c r="O4" s="22"/>
      <c r="P4" s="22"/>
      <c r="Q4" s="22"/>
      <c r="R4" s="7"/>
      <c r="S4" s="7"/>
      <c r="T4" s="7"/>
      <c r="U4" s="7"/>
      <c r="V4" s="7"/>
    </row>
    <row r="5" spans="1:22" s="1" customFormat="1" ht="12" customHeight="1">
      <c r="A5" s="315" t="s">
        <v>121</v>
      </c>
      <c r="B5" s="721" t="s">
        <v>1043</v>
      </c>
      <c r="C5" s="721"/>
      <c r="D5" s="155" t="s">
        <v>564</v>
      </c>
      <c r="E5" s="1004" t="str">
        <f>CONCATENATE('Заявка стр. 1'!B3)</f>
        <v>АО "Научно-производственный центр "Вигстар"</v>
      </c>
      <c r="F5" s="1004"/>
      <c r="G5" s="1004"/>
      <c r="H5" s="1004"/>
      <c r="I5" s="686" t="s">
        <v>272</v>
      </c>
      <c r="J5" s="291"/>
      <c r="K5" s="7"/>
      <c r="L5" s="7"/>
      <c r="M5" s="7"/>
      <c r="N5" s="161"/>
      <c r="O5" s="7"/>
      <c r="P5" s="7"/>
      <c r="Q5" s="7"/>
      <c r="R5" s="7"/>
      <c r="S5" s="7"/>
      <c r="T5" s="7"/>
      <c r="U5" s="7"/>
      <c r="V5" s="7"/>
    </row>
    <row r="6" spans="1:14" s="7" customFormat="1" ht="2.25" customHeight="1">
      <c r="A6" s="193"/>
      <c r="B6" s="194"/>
      <c r="C6" s="165"/>
      <c r="D6" s="155"/>
      <c r="E6" s="1004"/>
      <c r="F6" s="1004"/>
      <c r="G6" s="1004"/>
      <c r="H6" s="1004"/>
      <c r="I6" s="161"/>
      <c r="J6" s="157"/>
      <c r="N6" s="161"/>
    </row>
    <row r="7" spans="1:22" s="1" customFormat="1" ht="12" customHeight="1">
      <c r="A7" s="1112" t="s">
        <v>817</v>
      </c>
      <c r="B7" s="1112"/>
      <c r="C7" s="1112"/>
      <c r="D7" s="174"/>
      <c r="E7" s="1254"/>
      <c r="F7" s="1254"/>
      <c r="G7" s="1254"/>
      <c r="H7" s="1254"/>
      <c r="I7" s="686" t="s">
        <v>713</v>
      </c>
      <c r="J7" s="291">
        <v>0</v>
      </c>
      <c r="K7" s="7"/>
      <c r="L7" s="7"/>
      <c r="M7" s="7"/>
      <c r="N7" s="161"/>
      <c r="O7" s="7"/>
      <c r="P7" s="7"/>
      <c r="Q7" s="7"/>
      <c r="R7" s="7"/>
      <c r="S7" s="7"/>
      <c r="T7" s="7"/>
      <c r="U7" s="7"/>
      <c r="V7" s="7"/>
    </row>
    <row r="8" spans="1:14" s="7" customFormat="1" ht="2.25" customHeight="1">
      <c r="A8" s="166"/>
      <c r="B8" s="164"/>
      <c r="C8" s="167"/>
      <c r="D8" s="157"/>
      <c r="I8" s="154"/>
      <c r="J8" s="180"/>
      <c r="N8" s="161"/>
    </row>
    <row r="9" spans="1:22" s="1" customFormat="1" ht="12" customHeight="1">
      <c r="A9" s="170" t="s">
        <v>982</v>
      </c>
      <c r="B9" s="724" t="s">
        <v>182</v>
      </c>
      <c r="C9" s="724"/>
      <c r="D9" s="155" t="s">
        <v>977</v>
      </c>
      <c r="E9" s="871"/>
      <c r="F9" s="871"/>
      <c r="G9" s="871"/>
      <c r="H9" s="871"/>
      <c r="I9" s="686" t="s">
        <v>979</v>
      </c>
      <c r="J9" s="291">
        <v>0</v>
      </c>
      <c r="K9" s="7"/>
      <c r="L9" s="7"/>
      <c r="M9" s="7"/>
      <c r="N9" s="161"/>
      <c r="O9" s="7"/>
      <c r="P9" s="7"/>
      <c r="Q9" s="7"/>
      <c r="R9" s="7"/>
      <c r="S9" s="7"/>
      <c r="T9" s="7"/>
      <c r="U9" s="7"/>
      <c r="V9" s="7"/>
    </row>
    <row r="10" spans="1:14" s="7" customFormat="1" ht="2.25" customHeight="1">
      <c r="A10" s="166"/>
      <c r="B10" s="164"/>
      <c r="C10" s="164"/>
      <c r="D10" s="160"/>
      <c r="I10" s="154"/>
      <c r="J10" s="180"/>
      <c r="N10" s="161"/>
    </row>
    <row r="11" spans="1:22" s="1" customFormat="1" ht="12" customHeight="1">
      <c r="A11" s="170" t="s">
        <v>595</v>
      </c>
      <c r="B11" s="1162" t="s">
        <v>58</v>
      </c>
      <c r="C11" s="1239"/>
      <c r="D11" s="173" t="s">
        <v>978</v>
      </c>
      <c r="E11" s="871"/>
      <c r="F11" s="871"/>
      <c r="G11" s="871"/>
      <c r="H11" s="871"/>
      <c r="I11" s="153"/>
      <c r="J11" s="180"/>
      <c r="L11" s="7"/>
      <c r="M11" s="7"/>
      <c r="N11" s="161"/>
      <c r="O11" s="7"/>
      <c r="P11" s="7"/>
      <c r="Q11" s="7"/>
      <c r="R11" s="7"/>
      <c r="S11" s="7"/>
      <c r="T11" s="7"/>
      <c r="U11" s="7"/>
      <c r="V11" s="7"/>
    </row>
    <row r="12" spans="1:22" s="1" customFormat="1" ht="4.5" customHeight="1">
      <c r="A12" s="203"/>
      <c r="B12" s="204"/>
      <c r="C12" s="204"/>
      <c r="D12" s="204"/>
      <c r="E12" s="205"/>
      <c r="F12" s="202"/>
      <c r="G12" s="202"/>
      <c r="H12" s="202"/>
      <c r="I12" s="213"/>
      <c r="J12" s="202"/>
      <c r="K12" s="182"/>
      <c r="L12" s="153"/>
      <c r="M12" s="180"/>
      <c r="N12" s="161"/>
      <c r="O12" s="22"/>
      <c r="P12" s="22"/>
      <c r="Q12" s="70"/>
      <c r="R12" s="7"/>
      <c r="S12" s="7"/>
      <c r="T12" s="7"/>
      <c r="U12" s="7"/>
      <c r="V12" s="7"/>
    </row>
    <row r="13" spans="1:10" ht="50.25" customHeight="1">
      <c r="A13" s="664"/>
      <c r="B13" s="664"/>
      <c r="C13" s="1283" t="s">
        <v>525</v>
      </c>
      <c r="D13" s="1283"/>
      <c r="E13" s="1283"/>
      <c r="F13" s="1283"/>
      <c r="G13" s="1283"/>
      <c r="H13" s="1283"/>
      <c r="I13" s="664"/>
      <c r="J13" s="664"/>
    </row>
    <row r="14" spans="1:15" s="604" customFormat="1" ht="57.75" customHeight="1">
      <c r="A14" s="600" t="s">
        <v>675</v>
      </c>
      <c r="B14" s="601" t="s">
        <v>402</v>
      </c>
      <c r="C14" s="601" t="s">
        <v>403</v>
      </c>
      <c r="D14" s="601" t="s">
        <v>969</v>
      </c>
      <c r="E14" s="602" t="s">
        <v>883</v>
      </c>
      <c r="F14" s="1286" t="s">
        <v>1045</v>
      </c>
      <c r="G14" s="1287"/>
      <c r="H14" s="1288"/>
      <c r="I14" s="1292" t="s">
        <v>948</v>
      </c>
      <c r="J14" s="1292"/>
      <c r="K14" s="603"/>
      <c r="L14" s="603"/>
      <c r="M14" s="603"/>
      <c r="N14" s="603"/>
      <c r="O14" s="603"/>
    </row>
    <row r="15" spans="1:15" s="606" customFormat="1" ht="12.75">
      <c r="A15" s="72">
        <v>1</v>
      </c>
      <c r="B15" s="72">
        <v>2</v>
      </c>
      <c r="C15" s="72">
        <v>3</v>
      </c>
      <c r="D15" s="72">
        <v>4</v>
      </c>
      <c r="E15" s="72">
        <v>5</v>
      </c>
      <c r="F15" s="1289">
        <v>6</v>
      </c>
      <c r="G15" s="1290"/>
      <c r="H15" s="1291"/>
      <c r="I15" s="1285">
        <v>7</v>
      </c>
      <c r="J15" s="1285"/>
      <c r="K15" s="605"/>
      <c r="L15" s="605"/>
      <c r="M15" s="605"/>
      <c r="N15" s="605"/>
      <c r="O15" s="605"/>
    </row>
    <row r="16" spans="1:15" s="25" customFormat="1" ht="15" customHeight="1">
      <c r="A16" s="421"/>
      <c r="B16" s="421"/>
      <c r="C16" s="421"/>
      <c r="D16" s="421"/>
      <c r="E16" s="421"/>
      <c r="F16" s="1264"/>
      <c r="G16" s="1268"/>
      <c r="H16" s="1265"/>
      <c r="I16" s="1282"/>
      <c r="J16" s="1282"/>
      <c r="K16" s="116"/>
      <c r="L16" s="116"/>
      <c r="M16" s="116"/>
      <c r="N16" s="116"/>
      <c r="O16" s="116"/>
    </row>
    <row r="17" spans="1:15" s="25" customFormat="1" ht="14.25" customHeight="1">
      <c r="A17" s="421"/>
      <c r="B17" s="421"/>
      <c r="C17" s="421"/>
      <c r="D17" s="421"/>
      <c r="E17" s="421"/>
      <c r="F17" s="1264"/>
      <c r="G17" s="1268"/>
      <c r="H17" s="1265"/>
      <c r="I17" s="1282"/>
      <c r="J17" s="1282"/>
      <c r="K17" s="116"/>
      <c r="L17" s="116"/>
      <c r="M17" s="116"/>
      <c r="N17" s="116"/>
      <c r="O17" s="116"/>
    </row>
    <row r="18" spans="1:15" s="25" customFormat="1" ht="12.75">
      <c r="A18" s="421"/>
      <c r="B18" s="421"/>
      <c r="C18" s="421"/>
      <c r="D18" s="421"/>
      <c r="E18" s="421"/>
      <c r="F18" s="1264"/>
      <c r="G18" s="1268"/>
      <c r="H18" s="1265"/>
      <c r="I18" s="1282"/>
      <c r="J18" s="1282"/>
      <c r="K18" s="116"/>
      <c r="L18" s="116"/>
      <c r="M18" s="116"/>
      <c r="N18" s="116"/>
      <c r="O18" s="116"/>
    </row>
    <row r="19" spans="1:15" s="25" customFormat="1" ht="12.75">
      <c r="A19" s="421"/>
      <c r="B19" s="421"/>
      <c r="C19" s="421"/>
      <c r="D19" s="421"/>
      <c r="E19" s="421"/>
      <c r="F19" s="1264"/>
      <c r="G19" s="1268"/>
      <c r="H19" s="1265"/>
      <c r="I19" s="1266"/>
      <c r="J19" s="1267"/>
      <c r="K19" s="116"/>
      <c r="L19" s="116"/>
      <c r="M19" s="116"/>
      <c r="N19" s="116"/>
      <c r="O19" s="116"/>
    </row>
    <row r="20" spans="1:15" s="25" customFormat="1" ht="12.75">
      <c r="A20" s="421"/>
      <c r="B20" s="421"/>
      <c r="C20" s="421"/>
      <c r="D20" s="421"/>
      <c r="E20" s="421"/>
      <c r="F20" s="1264"/>
      <c r="G20" s="1268"/>
      <c r="H20" s="1265"/>
      <c r="I20" s="1266"/>
      <c r="J20" s="1267"/>
      <c r="K20" s="116"/>
      <c r="L20" s="116"/>
      <c r="M20" s="116"/>
      <c r="N20" s="116"/>
      <c r="O20" s="116"/>
    </row>
    <row r="21" spans="1:15" s="25" customFormat="1" ht="12.75">
      <c r="A21" s="421"/>
      <c r="B21" s="421"/>
      <c r="C21" s="421"/>
      <c r="D21" s="421"/>
      <c r="E21" s="421"/>
      <c r="F21" s="1264"/>
      <c r="G21" s="1268"/>
      <c r="H21" s="1265"/>
      <c r="I21" s="1266"/>
      <c r="J21" s="1267"/>
      <c r="K21" s="116"/>
      <c r="L21" s="116"/>
      <c r="M21" s="116"/>
      <c r="N21" s="116"/>
      <c r="O21" s="116"/>
    </row>
    <row r="22" spans="1:15" s="25" customFormat="1" ht="12.75">
      <c r="A22" s="421"/>
      <c r="B22" s="421"/>
      <c r="C22" s="421"/>
      <c r="D22" s="421"/>
      <c r="E22" s="421"/>
      <c r="F22" s="1264"/>
      <c r="G22" s="1268"/>
      <c r="H22" s="1265"/>
      <c r="I22" s="1266"/>
      <c r="J22" s="1267"/>
      <c r="K22" s="116"/>
      <c r="L22" s="116"/>
      <c r="M22" s="116"/>
      <c r="N22" s="116"/>
      <c r="O22" s="116"/>
    </row>
    <row r="23" spans="1:15" s="25" customFormat="1" ht="12.75">
      <c r="A23" s="421"/>
      <c r="B23" s="421"/>
      <c r="C23" s="421"/>
      <c r="D23" s="421"/>
      <c r="E23" s="421"/>
      <c r="F23" s="1264"/>
      <c r="G23" s="1268"/>
      <c r="H23" s="1265"/>
      <c r="I23" s="1266"/>
      <c r="J23" s="1267"/>
      <c r="K23" s="116"/>
      <c r="L23" s="116"/>
      <c r="M23" s="116"/>
      <c r="N23" s="116"/>
      <c r="O23" s="116"/>
    </row>
    <row r="24" spans="1:15" s="25" customFormat="1" ht="12.75">
      <c r="A24" s="421"/>
      <c r="B24" s="421"/>
      <c r="C24" s="421"/>
      <c r="D24" s="421"/>
      <c r="E24" s="421"/>
      <c r="F24" s="1264"/>
      <c r="G24" s="1268"/>
      <c r="H24" s="1265"/>
      <c r="I24" s="1266"/>
      <c r="J24" s="1267"/>
      <c r="K24" s="116"/>
      <c r="L24" s="116"/>
      <c r="M24" s="116"/>
      <c r="N24" s="116"/>
      <c r="O24" s="116"/>
    </row>
    <row r="25" spans="1:15" s="25" customFormat="1" ht="12.75">
      <c r="A25" s="421"/>
      <c r="B25" s="421"/>
      <c r="C25" s="421"/>
      <c r="D25" s="421"/>
      <c r="E25" s="421"/>
      <c r="F25" s="1264"/>
      <c r="G25" s="1268"/>
      <c r="H25" s="1265"/>
      <c r="I25" s="1266"/>
      <c r="J25" s="1267"/>
      <c r="K25" s="116"/>
      <c r="L25" s="116"/>
      <c r="M25" s="116"/>
      <c r="N25" s="116"/>
      <c r="O25" s="116"/>
    </row>
    <row r="26" spans="1:15" s="25" customFormat="1" ht="12.75">
      <c r="A26" s="421"/>
      <c r="B26" s="421"/>
      <c r="C26" s="421"/>
      <c r="D26" s="421"/>
      <c r="E26" s="421"/>
      <c r="F26" s="1264"/>
      <c r="G26" s="1268"/>
      <c r="H26" s="1265"/>
      <c r="I26" s="1266"/>
      <c r="J26" s="1267"/>
      <c r="K26" s="116"/>
      <c r="L26" s="116"/>
      <c r="M26" s="116"/>
      <c r="N26" s="116"/>
      <c r="O26" s="116"/>
    </row>
    <row r="27" spans="1:15" s="25" customFormat="1" ht="12.75">
      <c r="A27" s="421"/>
      <c r="B27" s="421"/>
      <c r="C27" s="421"/>
      <c r="D27" s="421"/>
      <c r="E27" s="421"/>
      <c r="F27" s="1264"/>
      <c r="G27" s="1268"/>
      <c r="H27" s="1265"/>
      <c r="I27" s="1266"/>
      <c r="J27" s="1267"/>
      <c r="K27" s="116"/>
      <c r="L27" s="116"/>
      <c r="M27" s="116"/>
      <c r="N27" s="116"/>
      <c r="O27" s="116"/>
    </row>
    <row r="28" spans="1:10" ht="9" customHeight="1">
      <c r="A28" s="50"/>
      <c r="B28" s="50"/>
      <c r="C28" s="50"/>
      <c r="D28" s="50"/>
      <c r="E28" s="50"/>
      <c r="F28" s="50"/>
      <c r="G28" s="50"/>
      <c r="H28" s="50"/>
      <c r="I28" s="49"/>
      <c r="J28" s="49"/>
    </row>
    <row r="29" spans="1:10" ht="12.75">
      <c r="A29" s="708" t="s">
        <v>564</v>
      </c>
      <c r="B29" s="708"/>
      <c r="C29" s="1"/>
      <c r="D29" s="7"/>
      <c r="E29" s="224"/>
      <c r="F29" s="224"/>
      <c r="G29" s="224"/>
      <c r="H29" s="224"/>
      <c r="I29" s="224"/>
      <c r="J29" s="353"/>
    </row>
    <row r="30" spans="1:10" ht="13.5">
      <c r="A30" s="1014" t="str">
        <f>CONCATENATE('Заявка стр. 1'!B3)</f>
        <v>АО "Научно-производственный центр "Вигстар"</v>
      </c>
      <c r="B30" s="1014"/>
      <c r="C30" s="1014"/>
      <c r="D30" s="1014"/>
      <c r="E30" s="1014"/>
      <c r="F30" s="1014"/>
      <c r="G30" s="1014"/>
      <c r="H30" s="1014"/>
      <c r="I30" s="1014"/>
      <c r="J30" s="1"/>
    </row>
    <row r="31" spans="1:10" ht="12.75">
      <c r="A31" s="803" t="str">
        <f>CONCATENATE('Заявка стр. 1'!B17)</f>
        <v>Заместитель генерального директора по экономике и финансам</v>
      </c>
      <c r="B31" s="803"/>
      <c r="C31" s="803"/>
      <c r="D31" s="803"/>
      <c r="E31" s="803"/>
      <c r="F31" s="803"/>
      <c r="G31" s="803"/>
      <c r="H31" s="144"/>
      <c r="I31" s="144"/>
      <c r="J31" s="144"/>
    </row>
    <row r="32" spans="1:10" ht="12.75">
      <c r="A32" s="1127" t="str">
        <f>CONCATENATE('Заявка стр. 1'!A19)</f>
        <v>Короткевич Олег Иосифович</v>
      </c>
      <c r="B32" s="1127"/>
      <c r="C32" s="1127"/>
      <c r="D32" s="1127"/>
      <c r="E32" s="312"/>
      <c r="F32" s="312"/>
      <c r="G32" s="49"/>
      <c r="H32" s="820" t="s">
        <v>260</v>
      </c>
      <c r="I32" s="820"/>
      <c r="J32" s="820"/>
    </row>
    <row r="33" spans="1:10" ht="16.5" customHeight="1">
      <c r="A33" s="43"/>
      <c r="B33" s="43"/>
      <c r="C33" s="313"/>
      <c r="D33" s="1253" t="s">
        <v>991</v>
      </c>
      <c r="E33" s="1253"/>
      <c r="F33" s="1253"/>
      <c r="G33" s="314"/>
      <c r="H33" s="314"/>
      <c r="I33" s="314"/>
      <c r="J33" s="144"/>
    </row>
    <row r="34" spans="1:10" ht="12.75">
      <c r="A34" s="1278" t="s">
        <v>970</v>
      </c>
      <c r="B34" s="1279"/>
      <c r="C34" s="1279"/>
      <c r="D34" s="1279"/>
      <c r="E34" s="1279"/>
      <c r="F34" s="1279"/>
      <c r="G34" s="1279"/>
      <c r="H34" s="1279"/>
      <c r="I34" s="1279"/>
      <c r="J34" s="1279"/>
    </row>
    <row r="35" spans="1:10" ht="12.75">
      <c r="A35" s="1284" t="s">
        <v>971</v>
      </c>
      <c r="B35" s="1284"/>
      <c r="C35" s="1284"/>
      <c r="D35" s="1284"/>
      <c r="E35" s="1284"/>
      <c r="F35" s="1284"/>
      <c r="G35" s="1284"/>
      <c r="H35" s="1284"/>
      <c r="I35" s="1284"/>
      <c r="J35" s="1284"/>
    </row>
    <row r="36" spans="1:10" ht="12.75">
      <c r="A36" s="1284" t="s">
        <v>972</v>
      </c>
      <c r="B36" s="1284"/>
      <c r="C36" s="1284"/>
      <c r="D36" s="1284"/>
      <c r="E36" s="1284"/>
      <c r="F36" s="1284"/>
      <c r="G36" s="1284"/>
      <c r="H36" s="1284"/>
      <c r="I36" s="1284"/>
      <c r="J36" s="1284"/>
    </row>
    <row r="37" spans="1:10" ht="12.75">
      <c r="A37" s="1284" t="s">
        <v>605</v>
      </c>
      <c r="B37" s="1284"/>
      <c r="C37" s="1284"/>
      <c r="D37" s="1284"/>
      <c r="E37" s="1284"/>
      <c r="F37" s="1284"/>
      <c r="G37" s="1284"/>
      <c r="H37" s="1284"/>
      <c r="I37" s="1284"/>
      <c r="J37" s="1284"/>
    </row>
    <row r="38" spans="1:10" ht="12.75">
      <c r="A38" s="49" t="s">
        <v>601</v>
      </c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2" customHeight="1">
      <c r="A39" s="49" t="s">
        <v>602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2.75">
      <c r="A40" s="49" t="s">
        <v>931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.7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2.75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2.75">
      <c r="A43" s="1277"/>
      <c r="B43" s="1277"/>
      <c r="C43" s="1277"/>
      <c r="D43" s="1277"/>
      <c r="E43" s="1277"/>
      <c r="F43" s="1277"/>
      <c r="G43" s="1277"/>
      <c r="H43" s="1277"/>
      <c r="I43" s="1277"/>
      <c r="J43" s="1277"/>
    </row>
    <row r="44" spans="1:10" ht="12.75">
      <c r="A44" s="1277"/>
      <c r="B44" s="1277"/>
      <c r="C44" s="1277"/>
      <c r="D44" s="1277"/>
      <c r="E44" s="1277"/>
      <c r="F44" s="1277"/>
      <c r="G44" s="1277"/>
      <c r="H44" s="1277"/>
      <c r="I44" s="1277"/>
      <c r="J44" s="1277"/>
    </row>
    <row r="45" spans="1:10" ht="12.75">
      <c r="A45" s="1277"/>
      <c r="B45" s="1277"/>
      <c r="C45" s="1277"/>
      <c r="D45" s="1277"/>
      <c r="E45" s="1277"/>
      <c r="F45" s="1277"/>
      <c r="G45" s="1277"/>
      <c r="H45" s="1277"/>
      <c r="I45" s="1277"/>
      <c r="J45" s="1277"/>
    </row>
    <row r="46" spans="1:10" ht="12.75">
      <c r="A46" s="1277"/>
      <c r="B46" s="1277"/>
      <c r="C46" s="1277"/>
      <c r="D46" s="1277"/>
      <c r="E46" s="1277"/>
      <c r="F46" s="1277"/>
      <c r="G46" s="1277"/>
      <c r="H46" s="1277"/>
      <c r="I46" s="1277"/>
      <c r="J46" s="1277"/>
    </row>
    <row r="47" spans="1:24" s="49" customFormat="1" ht="12.75">
      <c r="A47" s="1277"/>
      <c r="B47" s="1277"/>
      <c r="C47" s="1277"/>
      <c r="D47" s="1277"/>
      <c r="E47" s="1277"/>
      <c r="F47" s="1277"/>
      <c r="G47" s="1277"/>
      <c r="H47" s="1277"/>
      <c r="I47" s="1277"/>
      <c r="J47" s="1277"/>
      <c r="R47"/>
      <c r="S47"/>
      <c r="T47"/>
      <c r="U47"/>
      <c r="V47"/>
      <c r="W47"/>
      <c r="X47"/>
    </row>
    <row r="48" spans="1:24" s="49" customFormat="1" ht="12.75">
      <c r="A48" s="1277"/>
      <c r="B48" s="1277"/>
      <c r="C48" s="1277"/>
      <c r="D48" s="1277"/>
      <c r="E48" s="1277"/>
      <c r="F48" s="1277"/>
      <c r="G48" s="1277"/>
      <c r="H48" s="1277"/>
      <c r="I48" s="1277"/>
      <c r="J48" s="1277"/>
      <c r="R48"/>
      <c r="S48"/>
      <c r="T48"/>
      <c r="U48"/>
      <c r="V48"/>
      <c r="W48"/>
      <c r="X48"/>
    </row>
    <row r="49" spans="1:24" s="49" customFormat="1" ht="12.75">
      <c r="A49" s="1277"/>
      <c r="B49" s="1277"/>
      <c r="C49" s="1277"/>
      <c r="D49" s="1277"/>
      <c r="E49" s="1277"/>
      <c r="F49" s="1277"/>
      <c r="G49" s="1277"/>
      <c r="H49" s="1277"/>
      <c r="I49" s="1277"/>
      <c r="J49" s="1277"/>
      <c r="R49"/>
      <c r="S49"/>
      <c r="T49"/>
      <c r="U49"/>
      <c r="V49"/>
      <c r="W49"/>
      <c r="X49"/>
    </row>
    <row r="50" spans="1:24" s="49" customFormat="1" ht="12.75">
      <c r="A50" s="1277"/>
      <c r="B50" s="1277"/>
      <c r="C50" s="1277"/>
      <c r="D50" s="1277"/>
      <c r="E50" s="1277"/>
      <c r="F50" s="1277"/>
      <c r="G50" s="1277"/>
      <c r="H50" s="1277"/>
      <c r="I50" s="1277"/>
      <c r="J50" s="1277"/>
      <c r="R50"/>
      <c r="S50"/>
      <c r="T50"/>
      <c r="U50"/>
      <c r="V50"/>
      <c r="W50"/>
      <c r="X50"/>
    </row>
    <row r="51" spans="18:24" s="49" customFormat="1" ht="12.75">
      <c r="R51"/>
      <c r="S51"/>
      <c r="T51"/>
      <c r="U51"/>
      <c r="V51"/>
      <c r="W51"/>
      <c r="X51"/>
    </row>
    <row r="52" spans="18:24" s="49" customFormat="1" ht="12.75">
      <c r="R52"/>
      <c r="S52"/>
      <c r="T52"/>
      <c r="U52"/>
      <c r="V52"/>
      <c r="W52"/>
      <c r="X52"/>
    </row>
    <row r="53" spans="18:24" s="49" customFormat="1" ht="12.75">
      <c r="R53"/>
      <c r="S53"/>
      <c r="T53"/>
      <c r="U53"/>
      <c r="V53"/>
      <c r="W53"/>
      <c r="X53"/>
    </row>
    <row r="54" spans="18:24" s="49" customFormat="1" ht="12.75">
      <c r="R54"/>
      <c r="S54"/>
      <c r="T54"/>
      <c r="U54"/>
      <c r="V54"/>
      <c r="W54"/>
      <c r="X54"/>
    </row>
    <row r="55" spans="18:24" s="49" customFormat="1" ht="12.75">
      <c r="R55"/>
      <c r="S55"/>
      <c r="T55"/>
      <c r="U55"/>
      <c r="V55"/>
      <c r="W55"/>
      <c r="X55"/>
    </row>
    <row r="56" spans="18:24" s="49" customFormat="1" ht="12.75">
      <c r="R56"/>
      <c r="S56"/>
      <c r="T56"/>
      <c r="U56"/>
      <c r="V56"/>
      <c r="W56"/>
      <c r="X56"/>
    </row>
    <row r="57" s="49" customFormat="1" ht="12.75"/>
    <row r="58" s="49" customFormat="1" ht="12.75"/>
    <row r="59" s="49" customFormat="1" ht="12.75"/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pans="1:10" ht="12.75">
      <c r="A65" s="49"/>
      <c r="B65" s="49"/>
      <c r="C65" s="49"/>
      <c r="D65" s="49"/>
      <c r="E65" s="49"/>
      <c r="F65" s="49"/>
      <c r="G65" s="49"/>
      <c r="H65" s="49"/>
      <c r="I65" s="49"/>
      <c r="J65" s="49"/>
    </row>
    <row r="66" spans="1:10" ht="12.75">
      <c r="A66" s="49"/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2.75">
      <c r="A67" s="49"/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2.75">
      <c r="A68" s="49"/>
      <c r="B68" s="49"/>
      <c r="C68" s="49"/>
      <c r="D68" s="49"/>
      <c r="E68" s="49"/>
      <c r="F68" s="49"/>
      <c r="G68" s="49"/>
      <c r="H68" s="49"/>
      <c r="I68" s="49"/>
      <c r="J68" s="49"/>
    </row>
    <row r="69" spans="1:10" ht="12.75">
      <c r="A69" s="49"/>
      <c r="B69" s="49"/>
      <c r="C69" s="49"/>
      <c r="D69" s="49"/>
      <c r="E69" s="49"/>
      <c r="F69" s="49"/>
      <c r="G69" s="49"/>
      <c r="H69" s="49"/>
      <c r="I69" s="49"/>
      <c r="J69" s="49"/>
    </row>
    <row r="70" spans="1:10" ht="12.75">
      <c r="A70" s="49"/>
      <c r="B70" s="49"/>
      <c r="C70" s="49"/>
      <c r="D70" s="49"/>
      <c r="E70" s="49"/>
      <c r="F70" s="49"/>
      <c r="G70" s="49"/>
      <c r="H70" s="49"/>
      <c r="I70" s="49"/>
      <c r="J70" s="49"/>
    </row>
    <row r="71" spans="1:10" ht="12.75">
      <c r="A71" s="49"/>
      <c r="B71" s="49"/>
      <c r="C71" s="49"/>
      <c r="D71" s="49"/>
      <c r="E71" s="49"/>
      <c r="F71" s="49"/>
      <c r="G71" s="49"/>
      <c r="H71" s="49"/>
      <c r="I71" s="49"/>
      <c r="J71" s="49"/>
    </row>
    <row r="72" spans="1:10" ht="12.75">
      <c r="A72" s="49"/>
      <c r="B72" s="49"/>
      <c r="C72" s="49"/>
      <c r="D72" s="49"/>
      <c r="E72" s="49"/>
      <c r="F72" s="49"/>
      <c r="G72" s="49"/>
      <c r="H72" s="49"/>
      <c r="I72" s="49"/>
      <c r="J72" s="49"/>
    </row>
    <row r="73" spans="1:10" ht="12.75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2.75">
      <c r="A74" s="49"/>
      <c r="B74" s="49"/>
      <c r="C74" s="49"/>
      <c r="D74" s="49"/>
      <c r="E74" s="49"/>
      <c r="F74" s="49"/>
      <c r="G74" s="49"/>
      <c r="H74" s="49"/>
      <c r="I74" s="49"/>
      <c r="J74" s="49"/>
    </row>
    <row r="75" spans="1:10" ht="12.75">
      <c r="A75" s="49"/>
      <c r="B75" s="49"/>
      <c r="C75" s="49"/>
      <c r="D75" s="49"/>
      <c r="E75" s="49"/>
      <c r="F75" s="49"/>
      <c r="G75" s="49"/>
      <c r="H75" s="49"/>
      <c r="I75" s="49"/>
      <c r="J75" s="49"/>
    </row>
    <row r="76" spans="1:10" ht="12.75">
      <c r="A76" s="49"/>
      <c r="B76" s="49"/>
      <c r="C76" s="49"/>
      <c r="D76" s="49"/>
      <c r="E76" s="49"/>
      <c r="F76" s="49"/>
      <c r="G76" s="49"/>
      <c r="H76" s="49"/>
      <c r="I76" s="49"/>
      <c r="J76" s="49"/>
    </row>
  </sheetData>
  <sheetProtection password="CC03" sheet="1" formatCells="0" formatRows="0" insertRows="0" selectLockedCells="1"/>
  <mergeCells count="54">
    <mergeCell ref="A43:J50"/>
    <mergeCell ref="F18:H18"/>
    <mergeCell ref="F19:H19"/>
    <mergeCell ref="F20:H20"/>
    <mergeCell ref="F21:H21"/>
    <mergeCell ref="F22:H22"/>
    <mergeCell ref="I18:J18"/>
    <mergeCell ref="I19:J19"/>
    <mergeCell ref="I20:J20"/>
    <mergeCell ref="I27:J27"/>
    <mergeCell ref="A37:J37"/>
    <mergeCell ref="A34:J34"/>
    <mergeCell ref="E5:H7"/>
    <mergeCell ref="F1:J2"/>
    <mergeCell ref="B5:C5"/>
    <mergeCell ref="A7:C7"/>
    <mergeCell ref="A1:D1"/>
    <mergeCell ref="C3:D3"/>
    <mergeCell ref="F27:H27"/>
    <mergeCell ref="I14:J14"/>
    <mergeCell ref="A2:B2"/>
    <mergeCell ref="C2:D2"/>
    <mergeCell ref="A36:J36"/>
    <mergeCell ref="A35:J35"/>
    <mergeCell ref="E9:H9"/>
    <mergeCell ref="E11:H11"/>
    <mergeCell ref="F14:H14"/>
    <mergeCell ref="F15:H15"/>
    <mergeCell ref="F23:H23"/>
    <mergeCell ref="A29:B29"/>
    <mergeCell ref="I24:J24"/>
    <mergeCell ref="I25:J25"/>
    <mergeCell ref="F25:H25"/>
    <mergeCell ref="F26:H26"/>
    <mergeCell ref="I3:J3"/>
    <mergeCell ref="E1:E3"/>
    <mergeCell ref="I15:J15"/>
    <mergeCell ref="I16:J16"/>
    <mergeCell ref="D33:F33"/>
    <mergeCell ref="A32:D32"/>
    <mergeCell ref="H32:J32"/>
    <mergeCell ref="I17:J17"/>
    <mergeCell ref="I21:J21"/>
    <mergeCell ref="I26:J26"/>
    <mergeCell ref="A30:I30"/>
    <mergeCell ref="A31:G31"/>
    <mergeCell ref="I22:J22"/>
    <mergeCell ref="I23:J23"/>
    <mergeCell ref="B9:C9"/>
    <mergeCell ref="B11:C11"/>
    <mergeCell ref="F17:H17"/>
    <mergeCell ref="F24:H24"/>
    <mergeCell ref="C13:H13"/>
    <mergeCell ref="F16:H16"/>
  </mergeCells>
  <conditionalFormatting sqref="J5 J7 J9 J11">
    <cfRule type="cellIs" priority="1" dxfId="65" operator="equal" stopIfTrue="1">
      <formula>0</formula>
    </cfRule>
  </conditionalFormatting>
  <conditionalFormatting sqref="J29">
    <cfRule type="expression" priority="2" dxfId="67" stopIfTrue="1">
      <formula>OR($I$38&gt;0,$I$40&gt;0,#REF!&gt;0,$H$22&gt;0,#REF!&gt;0,#REF!&gt;0)</formula>
    </cfRule>
    <cfRule type="expression" priority="3" dxfId="65" stopIfTrue="1">
      <formula>AND(#REF!&lt;9,#REF!&lt;9)</formula>
    </cfRule>
  </conditionalFormatting>
  <hyperlinks>
    <hyperlink ref="B11" r:id="rId1" display="cctv@b95.ru"/>
  </hyperlink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92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Y59"/>
  <sheetViews>
    <sheetView zoomScale="115" zoomScaleNormal="115" zoomScalePageLayoutView="0" workbookViewId="0" topLeftCell="A1">
      <selection activeCell="H22" sqref="H22"/>
    </sheetView>
  </sheetViews>
  <sheetFormatPr defaultColWidth="9.00390625" defaultRowHeight="12.75"/>
  <cols>
    <col min="1" max="1" width="10.125" style="0" customWidth="1"/>
    <col min="2" max="3" width="11.125" style="0" customWidth="1"/>
    <col min="4" max="4" width="24.125" style="0" customWidth="1"/>
    <col min="5" max="5" width="3.625" style="0" customWidth="1"/>
    <col min="6" max="6" width="12.75390625" style="0" customWidth="1"/>
    <col min="7" max="7" width="11.125" style="0" customWidth="1"/>
    <col min="8" max="8" width="12.625" style="0" customWidth="1"/>
    <col min="9" max="9" width="13.375" style="0" customWidth="1"/>
    <col min="10" max="11" width="12.75390625" style="0" customWidth="1"/>
    <col min="12" max="18" width="9.125" style="49" customWidth="1"/>
  </cols>
  <sheetData>
    <row r="1" spans="1:12" ht="21" customHeight="1">
      <c r="A1" s="1272" t="s">
        <v>287</v>
      </c>
      <c r="B1" s="1272"/>
      <c r="C1" s="1272"/>
      <c r="D1" s="1272"/>
      <c r="E1" s="94"/>
      <c r="F1" s="1258" t="s">
        <v>288</v>
      </c>
      <c r="G1" s="1258"/>
      <c r="H1" s="1009" t="s">
        <v>1025</v>
      </c>
      <c r="I1" s="1009"/>
      <c r="J1" s="1009"/>
      <c r="K1" s="1009"/>
      <c r="L1" s="54"/>
    </row>
    <row r="2" spans="1:11" ht="23.25" customHeight="1">
      <c r="A2" s="1004" t="s">
        <v>696</v>
      </c>
      <c r="B2" s="1004"/>
      <c r="C2" s="1004" t="str">
        <f>'содержание '!C79</f>
        <v>ArmHiTec-2016</v>
      </c>
      <c r="D2" s="1004"/>
      <c r="E2" s="127"/>
      <c r="F2" s="1258"/>
      <c r="G2" s="1258"/>
      <c r="H2" s="1009"/>
      <c r="I2" s="1009"/>
      <c r="J2" s="1009"/>
      <c r="K2" s="1009"/>
    </row>
    <row r="3" spans="1:11" ht="18" customHeight="1">
      <c r="A3" s="417" t="s">
        <v>697</v>
      </c>
      <c r="B3" s="207" t="str">
        <f>CONCATENATE('содержание '!C104)</f>
        <v>/AHT</v>
      </c>
      <c r="C3" s="1052" t="s">
        <v>257</v>
      </c>
      <c r="D3" s="1052"/>
      <c r="E3" s="355"/>
      <c r="F3" s="1259"/>
      <c r="G3" s="1259"/>
      <c r="H3" s="207"/>
      <c r="I3" s="208" t="s">
        <v>122</v>
      </c>
      <c r="J3" s="1037" t="s">
        <v>175</v>
      </c>
      <c r="K3" s="1037"/>
    </row>
    <row r="4" spans="1:23" s="1" customFormat="1" ht="3.75" customHeight="1">
      <c r="A4" s="31"/>
      <c r="B4" s="34"/>
      <c r="C4" s="152"/>
      <c r="D4" s="152"/>
      <c r="E4" s="152"/>
      <c r="F4" s="152"/>
      <c r="G4" s="177"/>
      <c r="H4" s="177"/>
      <c r="I4" s="149"/>
      <c r="J4" s="149"/>
      <c r="K4" s="149"/>
      <c r="L4" s="149"/>
      <c r="M4" s="52"/>
      <c r="N4" s="52"/>
      <c r="O4" s="7"/>
      <c r="P4" s="22"/>
      <c r="Q4" s="22"/>
      <c r="R4" s="22"/>
      <c r="S4" s="7"/>
      <c r="T4" s="7"/>
      <c r="U4" s="7"/>
      <c r="V4" s="7"/>
      <c r="W4" s="7"/>
    </row>
    <row r="5" spans="1:23" s="1" customFormat="1" ht="12" customHeight="1">
      <c r="A5" s="315" t="s">
        <v>121</v>
      </c>
      <c r="B5" s="721" t="s">
        <v>467</v>
      </c>
      <c r="C5" s="721"/>
      <c r="D5" s="155" t="s">
        <v>564</v>
      </c>
      <c r="E5" s="1004" t="str">
        <f>CONCATENATE('Заявка стр. 1'!B3)</f>
        <v>АО "Научно-производственный центр "Вигстар"</v>
      </c>
      <c r="F5" s="1004"/>
      <c r="G5" s="1004"/>
      <c r="H5" s="1004"/>
      <c r="I5" s="1004"/>
      <c r="J5" s="153" t="s">
        <v>271</v>
      </c>
      <c r="K5" s="291">
        <f>'Заявка стр. 2'!L8</f>
        <v>0</v>
      </c>
      <c r="L5" s="7"/>
      <c r="M5" s="7"/>
      <c r="N5" s="7"/>
      <c r="O5" s="161"/>
      <c r="P5" s="7"/>
      <c r="Q5" s="7"/>
      <c r="R5" s="7"/>
      <c r="S5" s="7"/>
      <c r="T5" s="7"/>
      <c r="U5" s="7"/>
      <c r="V5" s="7"/>
      <c r="W5" s="7"/>
    </row>
    <row r="6" spans="1:15" s="7" customFormat="1" ht="2.25" customHeight="1">
      <c r="A6" s="193"/>
      <c r="B6" s="194"/>
      <c r="C6" s="165"/>
      <c r="D6" s="155"/>
      <c r="E6" s="1004"/>
      <c r="F6" s="1004"/>
      <c r="G6" s="1004"/>
      <c r="H6" s="1004"/>
      <c r="I6" s="1004"/>
      <c r="J6" s="161"/>
      <c r="K6" s="157"/>
      <c r="O6" s="161"/>
    </row>
    <row r="7" spans="1:23" s="1" customFormat="1" ht="12" customHeight="1">
      <c r="A7" s="1112" t="s">
        <v>560</v>
      </c>
      <c r="B7" s="1112"/>
      <c r="C7" s="1112"/>
      <c r="D7" s="174"/>
      <c r="E7" s="1254"/>
      <c r="F7" s="1254"/>
      <c r="G7" s="1254"/>
      <c r="H7" s="1254"/>
      <c r="I7" s="1254"/>
      <c r="J7" s="153" t="s">
        <v>713</v>
      </c>
      <c r="K7" s="291">
        <f>'Заявка стр. 2'!L10</f>
        <v>0</v>
      </c>
      <c r="L7" s="7"/>
      <c r="M7" s="7"/>
      <c r="N7" s="7"/>
      <c r="O7" s="161"/>
      <c r="P7" s="7"/>
      <c r="Q7" s="7"/>
      <c r="R7" s="7"/>
      <c r="S7" s="7"/>
      <c r="T7" s="7"/>
      <c r="U7" s="7"/>
      <c r="V7" s="7"/>
      <c r="W7" s="7"/>
    </row>
    <row r="8" spans="1:15" s="7" customFormat="1" ht="2.25" customHeight="1">
      <c r="A8" s="166"/>
      <c r="B8" s="164"/>
      <c r="C8" s="167"/>
      <c r="D8" s="157"/>
      <c r="J8" s="154"/>
      <c r="K8" s="180"/>
      <c r="O8" s="161"/>
    </row>
    <row r="9" spans="1:23" s="1" customFormat="1" ht="12" customHeight="1">
      <c r="A9" s="170" t="s">
        <v>982</v>
      </c>
      <c r="B9" s="724" t="s">
        <v>517</v>
      </c>
      <c r="C9" s="724"/>
      <c r="D9" s="155" t="s">
        <v>977</v>
      </c>
      <c r="E9" s="871" t="str">
        <f>CONCATENATE('Заявка стр. 1'!A25)</f>
        <v>Симонова Наталья Владимировна</v>
      </c>
      <c r="F9" s="871"/>
      <c r="G9" s="871"/>
      <c r="H9" s="871"/>
      <c r="I9" s="871"/>
      <c r="J9" s="153" t="s">
        <v>979</v>
      </c>
      <c r="K9" s="291">
        <f>'Заявка стр. 2'!L12</f>
        <v>0</v>
      </c>
      <c r="L9" s="7"/>
      <c r="M9" s="7"/>
      <c r="N9" s="7"/>
      <c r="O9" s="161"/>
      <c r="P9" s="7"/>
      <c r="Q9" s="7"/>
      <c r="R9" s="7"/>
      <c r="S9" s="7"/>
      <c r="T9" s="7"/>
      <c r="U9" s="7"/>
      <c r="V9" s="7"/>
      <c r="W9" s="7"/>
    </row>
    <row r="10" spans="1:15" s="7" customFormat="1" ht="2.25" customHeight="1">
      <c r="A10" s="166"/>
      <c r="B10" s="164"/>
      <c r="C10" s="164"/>
      <c r="D10" s="160"/>
      <c r="J10" s="154"/>
      <c r="K10" s="180"/>
      <c r="O10" s="161"/>
    </row>
    <row r="11" spans="1:23" s="1" customFormat="1" ht="12" customHeight="1">
      <c r="A11" s="170" t="s">
        <v>595</v>
      </c>
      <c r="B11" s="1162" t="s">
        <v>1034</v>
      </c>
      <c r="C11" s="1239"/>
      <c r="D11" s="173" t="s">
        <v>978</v>
      </c>
      <c r="E11" s="871" t="str">
        <f>CONCATENATE('Заявка стр. 1'!B27)</f>
        <v>(495) 276-52-71</v>
      </c>
      <c r="F11" s="871"/>
      <c r="G11" s="871"/>
      <c r="H11" s="871"/>
      <c r="I11" s="871"/>
      <c r="J11" s="153"/>
      <c r="K11" s="180"/>
      <c r="M11" s="7"/>
      <c r="N11" s="7"/>
      <c r="O11" s="161"/>
      <c r="P11" s="7"/>
      <c r="Q11" s="7"/>
      <c r="R11" s="7"/>
      <c r="S11" s="7"/>
      <c r="T11" s="7"/>
      <c r="U11" s="7"/>
      <c r="V11" s="7"/>
      <c r="W11" s="7"/>
    </row>
    <row r="12" spans="1:23" s="1" customFormat="1" ht="4.5" customHeight="1">
      <c r="A12" s="203"/>
      <c r="B12" s="204"/>
      <c r="C12" s="204"/>
      <c r="D12" s="204"/>
      <c r="E12" s="203"/>
      <c r="F12" s="205"/>
      <c r="G12" s="202"/>
      <c r="H12" s="202"/>
      <c r="I12" s="202"/>
      <c r="J12" s="213"/>
      <c r="K12" s="202"/>
      <c r="L12" s="182"/>
      <c r="M12" s="153"/>
      <c r="N12" s="180"/>
      <c r="O12" s="161"/>
      <c r="P12" s="22"/>
      <c r="Q12" s="22"/>
      <c r="R12" s="70"/>
      <c r="S12" s="7"/>
      <c r="T12" s="7"/>
      <c r="U12" s="7"/>
      <c r="V12" s="7"/>
      <c r="W12" s="7"/>
    </row>
    <row r="13" spans="1:11" ht="42" customHeight="1">
      <c r="A13" s="1299" t="s">
        <v>1046</v>
      </c>
      <c r="B13" s="1299"/>
      <c r="C13" s="1299"/>
      <c r="D13" s="1299"/>
      <c r="E13" s="1299"/>
      <c r="F13" s="1299"/>
      <c r="G13" s="1299"/>
      <c r="H13" s="1299"/>
      <c r="I13" s="1299"/>
      <c r="J13" s="1299"/>
      <c r="K13" s="1299"/>
    </row>
    <row r="14" spans="1:11" ht="10.5" customHeight="1">
      <c r="A14" s="1273" t="str">
        <f>'содержание '!C78</f>
        <v>Международной выставке вооружения и оборонных технологий "ArmHiTec-2016"</v>
      </c>
      <c r="B14" s="1273"/>
      <c r="C14" s="1273"/>
      <c r="D14" s="1273"/>
      <c r="E14" s="1273"/>
      <c r="F14" s="1273"/>
      <c r="G14" s="1273"/>
      <c r="H14" s="1273"/>
      <c r="I14" s="1273"/>
      <c r="J14" s="1273"/>
      <c r="K14" s="1273"/>
    </row>
    <row r="15" spans="1:11" ht="12" customHeight="1">
      <c r="A15" s="1293"/>
      <c r="B15" s="1294"/>
      <c r="C15" s="1294"/>
      <c r="D15" s="1294"/>
      <c r="E15" s="1294"/>
      <c r="F15" s="1294"/>
      <c r="G15" s="1294"/>
      <c r="H15" s="1294"/>
      <c r="I15" s="1294"/>
      <c r="J15" s="1294"/>
      <c r="K15" s="1294"/>
    </row>
    <row r="16" spans="1:11" ht="15.75" customHeight="1">
      <c r="A16" s="482" t="s">
        <v>564</v>
      </c>
      <c r="B16" s="1298" t="str">
        <f>CONCATENATE('Заявка стр. 1'!B4)</f>
        <v>АО "Научно-производственный центр "Вигстар"</v>
      </c>
      <c r="C16" s="1298"/>
      <c r="D16" s="1298"/>
      <c r="E16" s="1298"/>
      <c r="F16" s="1298"/>
      <c r="G16" s="1298"/>
      <c r="H16" s="1298"/>
      <c r="I16" s="1298"/>
      <c r="J16" s="1298"/>
      <c r="K16" s="1298"/>
    </row>
    <row r="17" spans="1:11" ht="69.75" customHeight="1">
      <c r="A17" s="1261" t="s">
        <v>675</v>
      </c>
      <c r="B17" s="1274" t="s">
        <v>1019</v>
      </c>
      <c r="C17" s="1275"/>
      <c r="D17" s="1275"/>
      <c r="E17" s="1276"/>
      <c r="F17" s="1257" t="s">
        <v>1020</v>
      </c>
      <c r="G17" s="1257" t="s">
        <v>1021</v>
      </c>
      <c r="H17" s="1257" t="s">
        <v>1022</v>
      </c>
      <c r="I17" s="1261" t="s">
        <v>1023</v>
      </c>
      <c r="J17" s="1261" t="s">
        <v>1024</v>
      </c>
      <c r="K17" s="1261" t="s">
        <v>948</v>
      </c>
    </row>
    <row r="18" spans="1:18" s="23" customFormat="1" ht="11.25" customHeight="1" hidden="1">
      <c r="A18" s="1263"/>
      <c r="B18" s="1295"/>
      <c r="C18" s="1296"/>
      <c r="D18" s="1296"/>
      <c r="E18" s="1297"/>
      <c r="F18" s="1257"/>
      <c r="G18" s="1257"/>
      <c r="H18" s="1257"/>
      <c r="I18" s="1262"/>
      <c r="J18" s="1262"/>
      <c r="K18" s="1262"/>
      <c r="L18" s="39"/>
      <c r="M18" s="39"/>
      <c r="N18" s="39"/>
      <c r="O18" s="39"/>
      <c r="P18" s="39"/>
      <c r="Q18" s="39"/>
      <c r="R18" s="39"/>
    </row>
    <row r="19" spans="1:18" s="25" customFormat="1" ht="12.75">
      <c r="A19" s="421"/>
      <c r="B19" s="1264"/>
      <c r="C19" s="1268"/>
      <c r="D19" s="1268"/>
      <c r="E19" s="1265"/>
      <c r="F19" s="421"/>
      <c r="G19" s="421"/>
      <c r="H19" s="607"/>
      <c r="I19" s="421"/>
      <c r="J19" s="611"/>
      <c r="K19" s="611"/>
      <c r="L19" s="116"/>
      <c r="M19" s="116"/>
      <c r="N19" s="116"/>
      <c r="O19" s="116"/>
      <c r="P19" s="116"/>
      <c r="Q19" s="116"/>
      <c r="R19" s="116"/>
    </row>
    <row r="20" spans="1:18" s="25" customFormat="1" ht="15" customHeight="1">
      <c r="A20" s="421"/>
      <c r="B20" s="1264"/>
      <c r="C20" s="1268"/>
      <c r="D20" s="1268"/>
      <c r="E20" s="1265"/>
      <c r="F20" s="421"/>
      <c r="G20" s="421"/>
      <c r="H20" s="607"/>
      <c r="I20" s="421"/>
      <c r="J20" s="611"/>
      <c r="K20" s="611"/>
      <c r="L20" s="116"/>
      <c r="M20" s="116"/>
      <c r="N20" s="116"/>
      <c r="O20" s="116"/>
      <c r="P20" s="116"/>
      <c r="Q20" s="116"/>
      <c r="R20" s="116"/>
    </row>
    <row r="21" spans="1:18" s="25" customFormat="1" ht="14.25" customHeight="1">
      <c r="A21" s="421"/>
      <c r="B21" s="1264"/>
      <c r="C21" s="1268"/>
      <c r="D21" s="1268"/>
      <c r="E21" s="1265"/>
      <c r="F21" s="421"/>
      <c r="G21" s="421"/>
      <c r="H21" s="607"/>
      <c r="I21" s="421"/>
      <c r="J21" s="611"/>
      <c r="K21" s="611"/>
      <c r="L21" s="116"/>
      <c r="M21" s="116"/>
      <c r="N21" s="116"/>
      <c r="O21" s="116"/>
      <c r="P21" s="116"/>
      <c r="Q21" s="116"/>
      <c r="R21" s="116"/>
    </row>
    <row r="22" spans="1:18" s="25" customFormat="1" ht="12.75">
      <c r="A22" s="421"/>
      <c r="B22" s="1264"/>
      <c r="C22" s="1268"/>
      <c r="D22" s="1268"/>
      <c r="E22" s="1265"/>
      <c r="F22" s="421"/>
      <c r="G22" s="421"/>
      <c r="H22" s="607"/>
      <c r="I22" s="421"/>
      <c r="J22" s="611"/>
      <c r="K22" s="611"/>
      <c r="L22" s="116"/>
      <c r="M22" s="116"/>
      <c r="N22" s="116"/>
      <c r="O22" s="116"/>
      <c r="P22" s="116"/>
      <c r="Q22" s="116"/>
      <c r="R22" s="116"/>
    </row>
    <row r="23" spans="1:18" s="25" customFormat="1" ht="12.75">
      <c r="A23" s="421"/>
      <c r="B23" s="1264"/>
      <c r="C23" s="1268"/>
      <c r="D23" s="1268"/>
      <c r="E23" s="1265"/>
      <c r="F23" s="421"/>
      <c r="G23" s="421"/>
      <c r="H23" s="607"/>
      <c r="I23" s="421"/>
      <c r="J23" s="611"/>
      <c r="K23" s="611"/>
      <c r="L23" s="116"/>
      <c r="M23" s="116"/>
      <c r="N23" s="116"/>
      <c r="O23" s="116"/>
      <c r="P23" s="116"/>
      <c r="Q23" s="116"/>
      <c r="R23" s="116"/>
    </row>
    <row r="24" spans="1:18" s="25" customFormat="1" ht="12.75">
      <c r="A24" s="421"/>
      <c r="B24" s="1264"/>
      <c r="C24" s="1268"/>
      <c r="D24" s="1268"/>
      <c r="E24" s="1265"/>
      <c r="F24" s="421"/>
      <c r="G24" s="421"/>
      <c r="H24" s="607"/>
      <c r="I24" s="421"/>
      <c r="J24" s="611"/>
      <c r="K24" s="611"/>
      <c r="L24" s="116"/>
      <c r="M24" s="116"/>
      <c r="N24" s="116"/>
      <c r="O24" s="116"/>
      <c r="P24" s="116"/>
      <c r="Q24" s="116"/>
      <c r="R24" s="116"/>
    </row>
    <row r="25" spans="1:18" s="25" customFormat="1" ht="12.75">
      <c r="A25" s="421"/>
      <c r="B25" s="1264"/>
      <c r="C25" s="1268"/>
      <c r="D25" s="1268"/>
      <c r="E25" s="1265"/>
      <c r="F25" s="421"/>
      <c r="G25" s="421"/>
      <c r="H25" s="607"/>
      <c r="I25" s="421"/>
      <c r="J25" s="611"/>
      <c r="K25" s="611"/>
      <c r="L25" s="116"/>
      <c r="M25" s="116"/>
      <c r="N25" s="116"/>
      <c r="O25" s="116"/>
      <c r="P25" s="116"/>
      <c r="Q25" s="116"/>
      <c r="R25" s="116"/>
    </row>
    <row r="26" spans="1:18" s="25" customFormat="1" ht="12.75">
      <c r="A26" s="421"/>
      <c r="B26" s="1264"/>
      <c r="C26" s="1268"/>
      <c r="D26" s="1268"/>
      <c r="E26" s="1265"/>
      <c r="F26" s="421"/>
      <c r="G26" s="421"/>
      <c r="H26" s="607"/>
      <c r="I26" s="421"/>
      <c r="J26" s="611"/>
      <c r="K26" s="611"/>
      <c r="L26" s="116"/>
      <c r="M26" s="116"/>
      <c r="N26" s="116"/>
      <c r="O26" s="116"/>
      <c r="P26" s="116"/>
      <c r="Q26" s="116"/>
      <c r="R26" s="116"/>
    </row>
    <row r="27" spans="1:18" s="25" customFormat="1" ht="12.75">
      <c r="A27" s="421"/>
      <c r="B27" s="1264"/>
      <c r="C27" s="1268"/>
      <c r="D27" s="1268"/>
      <c r="E27" s="1265"/>
      <c r="F27" s="421"/>
      <c r="G27" s="421"/>
      <c r="H27" s="607"/>
      <c r="I27" s="421"/>
      <c r="J27" s="611"/>
      <c r="K27" s="611"/>
      <c r="L27" s="116"/>
      <c r="M27" s="116"/>
      <c r="N27" s="116"/>
      <c r="O27" s="116"/>
      <c r="P27" s="116"/>
      <c r="Q27" s="116"/>
      <c r="R27" s="116"/>
    </row>
    <row r="28" spans="1:18" s="25" customFormat="1" ht="12.75">
      <c r="A28" s="421"/>
      <c r="B28" s="1264"/>
      <c r="C28" s="1268"/>
      <c r="D28" s="1268"/>
      <c r="E28" s="1265"/>
      <c r="F28" s="421"/>
      <c r="G28" s="421"/>
      <c r="H28" s="607"/>
      <c r="I28" s="421"/>
      <c r="J28" s="611"/>
      <c r="K28" s="611"/>
      <c r="L28" s="116"/>
      <c r="M28" s="116"/>
      <c r="N28" s="116"/>
      <c r="O28" s="116"/>
      <c r="P28" s="116"/>
      <c r="Q28" s="116"/>
      <c r="R28" s="116"/>
    </row>
    <row r="29" spans="1:18" s="25" customFormat="1" ht="12.75">
      <c r="A29" s="421"/>
      <c r="B29" s="1264"/>
      <c r="C29" s="1268"/>
      <c r="D29" s="1268"/>
      <c r="E29" s="1265"/>
      <c r="F29" s="421"/>
      <c r="G29" s="421"/>
      <c r="H29" s="607"/>
      <c r="I29" s="421"/>
      <c r="J29" s="611"/>
      <c r="K29" s="611"/>
      <c r="L29" s="116"/>
      <c r="M29" s="116"/>
      <c r="N29" s="116"/>
      <c r="O29" s="116"/>
      <c r="P29" s="116"/>
      <c r="Q29" s="116"/>
      <c r="R29" s="116"/>
    </row>
    <row r="30" spans="1:11" ht="9" customHeight="1">
      <c r="A30" s="50"/>
      <c r="B30" s="50"/>
      <c r="C30" s="50"/>
      <c r="D30" s="50"/>
      <c r="E30" s="50"/>
      <c r="F30" s="50"/>
      <c r="G30" s="50"/>
      <c r="H30" s="50"/>
      <c r="I30" s="50"/>
      <c r="J30" s="49"/>
      <c r="K30" s="49"/>
    </row>
    <row r="31" spans="1:11" ht="12.75">
      <c r="A31" s="708" t="s">
        <v>564</v>
      </c>
      <c r="B31" s="708"/>
      <c r="C31" s="1"/>
      <c r="D31" s="7"/>
      <c r="E31" s="224"/>
      <c r="F31" s="224"/>
      <c r="G31" s="224"/>
      <c r="H31" s="224"/>
      <c r="I31" s="224"/>
      <c r="J31" s="224"/>
      <c r="K31" s="353"/>
    </row>
    <row r="32" spans="1:11" ht="15.75" customHeight="1">
      <c r="A32" s="1014" t="str">
        <f>CONCATENATE('Заявка стр. 1'!B3)</f>
        <v>АО "Научно-производственный центр "Вигстар"</v>
      </c>
      <c r="B32" s="1014"/>
      <c r="C32" s="1014"/>
      <c r="D32" s="1014"/>
      <c r="E32" s="1014"/>
      <c r="F32" s="1014"/>
      <c r="G32" s="1014"/>
      <c r="H32" s="1014"/>
      <c r="I32" s="1014"/>
      <c r="J32" s="1014"/>
      <c r="K32" s="1014"/>
    </row>
    <row r="33" spans="1:11" ht="12.75">
      <c r="A33" s="803" t="str">
        <f>CONCATENATE('Заявка стр. 1'!B17)</f>
        <v>Заместитель генерального директора по экономике и финансам</v>
      </c>
      <c r="B33" s="803"/>
      <c r="C33" s="803"/>
      <c r="D33" s="803"/>
      <c r="E33" s="803"/>
      <c r="F33" s="803"/>
      <c r="G33" s="803"/>
      <c r="H33" s="144"/>
      <c r="I33" s="144"/>
      <c r="J33" s="144"/>
      <c r="K33" s="144"/>
    </row>
    <row r="34" spans="1:11" ht="12.75">
      <c r="A34" s="1127" t="str">
        <f>CONCATENATE('Заявка стр. 1'!A19)</f>
        <v>Короткевич Олег Иосифович</v>
      </c>
      <c r="B34" s="1127"/>
      <c r="C34" s="1127"/>
      <c r="D34" s="1127"/>
      <c r="E34" s="312"/>
      <c r="F34" s="312"/>
      <c r="G34" s="49"/>
      <c r="H34" s="49"/>
      <c r="I34" s="820" t="s">
        <v>260</v>
      </c>
      <c r="J34" s="820"/>
      <c r="K34" s="820"/>
    </row>
    <row r="35" spans="1:11" ht="12.75">
      <c r="A35" s="43"/>
      <c r="B35" s="43"/>
      <c r="C35" s="313"/>
      <c r="D35" s="1253" t="s">
        <v>991</v>
      </c>
      <c r="E35" s="1253"/>
      <c r="F35" s="1253"/>
      <c r="G35" s="314"/>
      <c r="H35" s="314"/>
      <c r="I35" s="314"/>
      <c r="J35" s="144"/>
      <c r="K35" s="144"/>
    </row>
    <row r="36" spans="1:10" ht="12.75">
      <c r="A36" s="49"/>
      <c r="B36" s="49"/>
      <c r="C36" s="49"/>
      <c r="D36" s="39"/>
      <c r="E36" s="39"/>
      <c r="F36" s="49"/>
      <c r="G36" s="39"/>
      <c r="H36" s="40"/>
      <c r="I36" s="49"/>
      <c r="J36" s="49"/>
    </row>
    <row r="37" spans="1:11" ht="12.75">
      <c r="A37" s="637" t="s">
        <v>582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2.75">
      <c r="A38" s="49" t="s">
        <v>1078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2.75">
      <c r="A39" s="49" t="s">
        <v>581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>
      <c r="A40" s="49" t="s">
        <v>518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2.75">
      <c r="A41" s="49" t="s">
        <v>519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409.5" customHeight="1">
      <c r="A42" s="1277" t="s">
        <v>1018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7"/>
    </row>
    <row r="43" spans="1:11" ht="12.75">
      <c r="A43" s="1277"/>
      <c r="B43" s="1277"/>
      <c r="C43" s="1277"/>
      <c r="D43" s="1277"/>
      <c r="E43" s="1277"/>
      <c r="F43" s="1277"/>
      <c r="G43" s="1277"/>
      <c r="H43" s="1277"/>
      <c r="I43" s="1277"/>
      <c r="J43" s="1277"/>
      <c r="K43" s="1277"/>
    </row>
    <row r="44" spans="1:11" ht="12.75">
      <c r="A44" s="1277"/>
      <c r="B44" s="1277"/>
      <c r="C44" s="1277"/>
      <c r="D44" s="1277"/>
      <c r="E44" s="1277"/>
      <c r="F44" s="1277"/>
      <c r="G44" s="1277"/>
      <c r="H44" s="1277"/>
      <c r="I44" s="1277"/>
      <c r="J44" s="1277"/>
      <c r="K44" s="1277"/>
    </row>
    <row r="45" spans="1:11" ht="12.75">
      <c r="A45" s="1277"/>
      <c r="B45" s="1277"/>
      <c r="C45" s="1277"/>
      <c r="D45" s="1277"/>
      <c r="E45" s="1277"/>
      <c r="F45" s="1277"/>
      <c r="G45" s="1277"/>
      <c r="H45" s="1277"/>
      <c r="I45" s="1277"/>
      <c r="J45" s="1277"/>
      <c r="K45" s="1277"/>
    </row>
    <row r="46" spans="1:11" ht="12.75">
      <c r="A46" s="1277"/>
      <c r="B46" s="1277"/>
      <c r="C46" s="1277"/>
      <c r="D46" s="1277"/>
      <c r="E46" s="1277"/>
      <c r="F46" s="1277"/>
      <c r="G46" s="1277"/>
      <c r="H46" s="1277"/>
      <c r="I46" s="1277"/>
      <c r="J46" s="1277"/>
      <c r="K46" s="1277"/>
    </row>
    <row r="47" spans="1:11" ht="12.75">
      <c r="A47" s="1277"/>
      <c r="B47" s="1277"/>
      <c r="C47" s="1277"/>
      <c r="D47" s="1277"/>
      <c r="E47" s="1277"/>
      <c r="F47" s="1277"/>
      <c r="G47" s="1277"/>
      <c r="H47" s="1277"/>
      <c r="I47" s="1277"/>
      <c r="J47" s="1277"/>
      <c r="K47" s="1277"/>
    </row>
    <row r="48" spans="1:11" ht="12.75">
      <c r="A48" s="1277"/>
      <c r="B48" s="1277"/>
      <c r="C48" s="1277"/>
      <c r="D48" s="1277"/>
      <c r="E48" s="1277"/>
      <c r="F48" s="1277"/>
      <c r="G48" s="1277"/>
      <c r="H48" s="1277"/>
      <c r="I48" s="1277"/>
      <c r="J48" s="1277"/>
      <c r="K48" s="1277"/>
    </row>
    <row r="49" spans="1:11" ht="12.75">
      <c r="A49" s="1277"/>
      <c r="B49" s="1277"/>
      <c r="C49" s="1277"/>
      <c r="D49" s="1277"/>
      <c r="E49" s="1277"/>
      <c r="F49" s="1277"/>
      <c r="G49" s="1277"/>
      <c r="H49" s="1277"/>
      <c r="I49" s="1277"/>
      <c r="J49" s="1277"/>
      <c r="K49" s="1277"/>
    </row>
    <row r="50" spans="19:25" s="49" customFormat="1" ht="12.75">
      <c r="S50"/>
      <c r="T50"/>
      <c r="U50"/>
      <c r="V50"/>
      <c r="W50"/>
      <c r="X50"/>
      <c r="Y50"/>
    </row>
    <row r="51" spans="19:25" s="49" customFormat="1" ht="12.75">
      <c r="S51"/>
      <c r="T51"/>
      <c r="U51"/>
      <c r="V51"/>
      <c r="W51"/>
      <c r="X51"/>
      <c r="Y51"/>
    </row>
    <row r="52" spans="19:25" s="49" customFormat="1" ht="12.75">
      <c r="S52"/>
      <c r="T52"/>
      <c r="U52"/>
      <c r="V52"/>
      <c r="W52"/>
      <c r="X52"/>
      <c r="Y52"/>
    </row>
    <row r="53" spans="19:25" s="49" customFormat="1" ht="12.75">
      <c r="S53"/>
      <c r="T53"/>
      <c r="U53"/>
      <c r="V53"/>
      <c r="W53"/>
      <c r="X53"/>
      <c r="Y53"/>
    </row>
    <row r="54" spans="19:25" s="49" customFormat="1" ht="12.75">
      <c r="S54"/>
      <c r="T54"/>
      <c r="U54"/>
      <c r="V54"/>
      <c r="W54"/>
      <c r="X54"/>
      <c r="Y54"/>
    </row>
    <row r="55" spans="19:25" s="49" customFormat="1" ht="12.75">
      <c r="S55"/>
      <c r="T55"/>
      <c r="U55"/>
      <c r="V55"/>
      <c r="W55"/>
      <c r="X55"/>
      <c r="Y55"/>
    </row>
    <row r="56" spans="19:25" s="49" customFormat="1" ht="12.75">
      <c r="S56"/>
      <c r="T56"/>
      <c r="U56"/>
      <c r="V56"/>
      <c r="W56"/>
      <c r="X56"/>
      <c r="Y56"/>
    </row>
    <row r="57" spans="19:25" s="49" customFormat="1" ht="12.75">
      <c r="S57"/>
      <c r="T57"/>
      <c r="U57"/>
      <c r="V57"/>
      <c r="W57"/>
      <c r="X57"/>
      <c r="Y57"/>
    </row>
    <row r="58" spans="19:25" s="49" customFormat="1" ht="12.75">
      <c r="S58"/>
      <c r="T58"/>
      <c r="U58"/>
      <c r="V58"/>
      <c r="W58"/>
      <c r="X58"/>
      <c r="Y58"/>
    </row>
    <row r="59" spans="19:25" s="49" customFormat="1" ht="12.75">
      <c r="S59"/>
      <c r="T59"/>
      <c r="U59"/>
      <c r="V59"/>
      <c r="W59"/>
      <c r="X59"/>
      <c r="Y59"/>
    </row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</sheetData>
  <sheetProtection password="CC03" sheet="1" formatCells="0" formatColumns="0" formatRows="0" insertRows="0" selectLockedCells="1"/>
  <mergeCells count="44">
    <mergeCell ref="A34:D34"/>
    <mergeCell ref="D35:F35"/>
    <mergeCell ref="A32:K32"/>
    <mergeCell ref="H1:K2"/>
    <mergeCell ref="A31:B31"/>
    <mergeCell ref="A33:G33"/>
    <mergeCell ref="B5:C5"/>
    <mergeCell ref="A7:C7"/>
    <mergeCell ref="B9:C9"/>
    <mergeCell ref="B11:C11"/>
    <mergeCell ref="J3:K3"/>
    <mergeCell ref="F1:G3"/>
    <mergeCell ref="A1:D1"/>
    <mergeCell ref="A17:A18"/>
    <mergeCell ref="A13:K13"/>
    <mergeCell ref="A14:K14"/>
    <mergeCell ref="F17:F18"/>
    <mergeCell ref="I17:I18"/>
    <mergeCell ref="B26:E26"/>
    <mergeCell ref="B27:E27"/>
    <mergeCell ref="B28:E28"/>
    <mergeCell ref="A15:K15"/>
    <mergeCell ref="B17:E18"/>
    <mergeCell ref="B16:K16"/>
    <mergeCell ref="I34:K34"/>
    <mergeCell ref="C3:D3"/>
    <mergeCell ref="B29:E29"/>
    <mergeCell ref="B22:E22"/>
    <mergeCell ref="B23:E23"/>
    <mergeCell ref="B24:E24"/>
    <mergeCell ref="B25:E25"/>
    <mergeCell ref="B19:E19"/>
    <mergeCell ref="B20:E20"/>
    <mergeCell ref="B21:E21"/>
    <mergeCell ref="A42:K49"/>
    <mergeCell ref="H17:H18"/>
    <mergeCell ref="A2:B2"/>
    <mergeCell ref="C2:D2"/>
    <mergeCell ref="G17:G18"/>
    <mergeCell ref="E5:I7"/>
    <mergeCell ref="E9:I9"/>
    <mergeCell ref="E11:I11"/>
    <mergeCell ref="J17:J18"/>
    <mergeCell ref="K17:K18"/>
  </mergeCells>
  <conditionalFormatting sqref="K31">
    <cfRule type="expression" priority="1" dxfId="67" stopIfTrue="1">
      <formula>OR(#REF!&gt;0,#REF!&gt;0,#REF!&gt;0,$K$26&gt;0,$J$17&gt;0,$J$18&gt;0)</formula>
    </cfRule>
    <cfRule type="expression" priority="2" dxfId="65" stopIfTrue="1">
      <formula>AND($J$16&lt;9,$J$19&lt;9)</formula>
    </cfRule>
  </conditionalFormatting>
  <conditionalFormatting sqref="K5 K7 K9 K11">
    <cfRule type="cellIs" priority="3" dxfId="65" operator="equal" stopIfTrue="1">
      <formula>0</formula>
    </cfRule>
  </conditionalFormatting>
  <hyperlinks>
    <hyperlink ref="B11" r:id="rId1" display="lebedeva@b95.ru"/>
  </hyperlink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64"/>
  <sheetViews>
    <sheetView zoomScale="115" zoomScaleNormal="115" zoomScalePageLayoutView="0" workbookViewId="0" topLeftCell="A1">
      <selection activeCell="A21" sqref="A21:I21"/>
    </sheetView>
  </sheetViews>
  <sheetFormatPr defaultColWidth="9.00390625" defaultRowHeight="12.75"/>
  <cols>
    <col min="1" max="1" width="7.375" style="0" customWidth="1"/>
    <col min="2" max="2" width="5.875" style="0" customWidth="1"/>
    <col min="3" max="3" width="11.75390625" style="0" customWidth="1"/>
    <col min="4" max="4" width="7.375" style="0" customWidth="1"/>
    <col min="5" max="5" width="14.25390625" style="0" customWidth="1"/>
    <col min="6" max="6" width="14.875" style="0" customWidth="1"/>
    <col min="7" max="7" width="17.125" style="0" customWidth="1"/>
    <col min="8" max="8" width="9.00390625" style="0" customWidth="1"/>
    <col min="9" max="9" width="13.25390625" style="0" customWidth="1"/>
    <col min="10" max="10" width="12.625" style="49" customWidth="1"/>
    <col min="11" max="18" width="9.125" style="49" customWidth="1"/>
  </cols>
  <sheetData>
    <row r="1" spans="1:10" ht="18" customHeight="1">
      <c r="A1" s="1034" t="s">
        <v>253</v>
      </c>
      <c r="B1" s="1034"/>
      <c r="C1" s="1034"/>
      <c r="D1" s="115"/>
      <c r="E1" s="94"/>
      <c r="F1" s="1313" t="s">
        <v>750</v>
      </c>
      <c r="G1" s="1009" t="s">
        <v>749</v>
      </c>
      <c r="H1" s="1009"/>
      <c r="I1" s="1009"/>
      <c r="J1" s="110"/>
    </row>
    <row r="2" spans="1:10" ht="24.75" customHeight="1">
      <c r="A2" s="1316" t="s">
        <v>1067</v>
      </c>
      <c r="B2" s="1316"/>
      <c r="C2" s="1316"/>
      <c r="D2" s="1307" t="str">
        <f>'содержание '!C79</f>
        <v>ArmHiTec-2016</v>
      </c>
      <c r="E2" s="1307"/>
      <c r="F2" s="1313"/>
      <c r="G2" s="1009"/>
      <c r="H2" s="1009"/>
      <c r="I2" s="1009"/>
      <c r="J2" s="99"/>
    </row>
    <row r="3" spans="1:14" ht="15" customHeight="1">
      <c r="A3" s="1306" t="s">
        <v>1068</v>
      </c>
      <c r="B3" s="1306"/>
      <c r="C3" s="350" t="str">
        <f>CONCATENATE('содержание '!C104)</f>
        <v>/AHT</v>
      </c>
      <c r="D3" s="1312" t="s">
        <v>748</v>
      </c>
      <c r="E3" s="1312"/>
      <c r="F3" s="1314"/>
      <c r="G3" s="351" t="s">
        <v>122</v>
      </c>
      <c r="H3" s="351"/>
      <c r="I3" s="352" t="str">
        <f>'содержание '!C95</f>
        <v>14 сентября 2016 г.</v>
      </c>
      <c r="J3" s="99"/>
      <c r="K3" s="22"/>
      <c r="M3" s="1308"/>
      <c r="N3" s="1308"/>
    </row>
    <row r="4" spans="1:23" s="1" customFormat="1" ht="3.75" customHeight="1">
      <c r="A4" s="31"/>
      <c r="B4" s="34"/>
      <c r="C4" s="152"/>
      <c r="D4" s="152"/>
      <c r="E4" s="152"/>
      <c r="F4" s="152"/>
      <c r="G4" s="177"/>
      <c r="H4" s="177"/>
      <c r="I4" s="149"/>
      <c r="J4" s="149"/>
      <c r="K4" s="149"/>
      <c r="L4" s="149"/>
      <c r="M4" s="52"/>
      <c r="N4" s="52"/>
      <c r="O4" s="7"/>
      <c r="P4" s="22"/>
      <c r="Q4" s="22"/>
      <c r="R4" s="22"/>
      <c r="S4" s="7"/>
      <c r="T4" s="7"/>
      <c r="U4" s="7"/>
      <c r="V4" s="7"/>
      <c r="W4" s="7"/>
    </row>
    <row r="5" spans="1:23" s="1" customFormat="1" ht="12" customHeight="1">
      <c r="A5" s="494" t="s">
        <v>865</v>
      </c>
      <c r="B5" s="1112">
        <f>CONCATENATE('Заявка стр. 2'!B10)</f>
      </c>
      <c r="C5" s="1112"/>
      <c r="D5" s="1112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686" t="s">
        <v>272</v>
      </c>
      <c r="I5" s="291">
        <f>'Заявка стр. 2'!L8</f>
        <v>0</v>
      </c>
      <c r="J5" s="188"/>
      <c r="K5" s="7"/>
      <c r="L5" s="7"/>
      <c r="M5" s="7"/>
      <c r="N5" s="7"/>
      <c r="O5" s="161"/>
      <c r="P5" s="7"/>
      <c r="Q5" s="7"/>
      <c r="R5" s="7"/>
      <c r="S5" s="7"/>
      <c r="T5" s="7"/>
      <c r="U5" s="7"/>
      <c r="V5" s="7"/>
      <c r="W5" s="7"/>
    </row>
    <row r="6" spans="1:15" s="7" customFormat="1" ht="2.25" customHeight="1">
      <c r="A6" s="193"/>
      <c r="B6" s="194"/>
      <c r="C6" s="165"/>
      <c r="D6" s="165"/>
      <c r="E6" s="155"/>
      <c r="F6" s="728"/>
      <c r="G6" s="728"/>
      <c r="H6" s="161"/>
      <c r="I6" s="157"/>
      <c r="J6" s="188"/>
      <c r="O6" s="161"/>
    </row>
    <row r="7" spans="1:23" s="1" customFormat="1" ht="12" customHeight="1">
      <c r="A7" s="721" t="s">
        <v>670</v>
      </c>
      <c r="B7" s="721"/>
      <c r="C7" s="721"/>
      <c r="D7" s="721"/>
      <c r="E7" s="174"/>
      <c r="F7" s="818"/>
      <c r="G7" s="818"/>
      <c r="H7" s="153" t="s">
        <v>713</v>
      </c>
      <c r="I7" s="291">
        <f>'Заявка стр. 2'!L10</f>
        <v>0</v>
      </c>
      <c r="J7" s="188"/>
      <c r="K7" s="7"/>
      <c r="L7" s="7"/>
      <c r="M7" s="7"/>
      <c r="N7" s="7"/>
      <c r="O7" s="161"/>
      <c r="P7" s="7"/>
      <c r="Q7" s="7"/>
      <c r="R7" s="7"/>
      <c r="S7" s="7"/>
      <c r="T7" s="7"/>
      <c r="U7" s="7"/>
      <c r="V7" s="7"/>
      <c r="W7" s="7"/>
    </row>
    <row r="8" spans="1:15" s="7" customFormat="1" ht="2.25" customHeight="1">
      <c r="A8" s="166"/>
      <c r="B8" s="164"/>
      <c r="C8" s="167"/>
      <c r="D8" s="167"/>
      <c r="E8" s="157"/>
      <c r="H8" s="154"/>
      <c r="I8" s="180"/>
      <c r="J8" s="181"/>
      <c r="O8" s="161"/>
    </row>
    <row r="9" spans="1:23" s="1" customFormat="1" ht="12" customHeight="1">
      <c r="A9" s="170" t="s">
        <v>982</v>
      </c>
      <c r="B9" s="1140" t="str">
        <f>'Заявка стр. 2'!C12</f>
        <v> +7 (495) 937-40-81, доб.</v>
      </c>
      <c r="C9" s="1140"/>
      <c r="D9" s="168">
        <f>'Заявка стр. 2'!E12</f>
        <v>0</v>
      </c>
      <c r="E9" s="155" t="s">
        <v>977</v>
      </c>
      <c r="F9" s="871" t="str">
        <f>CONCATENATE('Заявка стр. 1'!A25)</f>
        <v>Симонова Наталья Владимировна</v>
      </c>
      <c r="G9" s="871"/>
      <c r="H9" s="153" t="s">
        <v>979</v>
      </c>
      <c r="I9" s="291">
        <f>'Заявка стр. 2'!L12</f>
        <v>0</v>
      </c>
      <c r="J9" s="70"/>
      <c r="K9" s="7"/>
      <c r="L9" s="7"/>
      <c r="M9" s="7"/>
      <c r="N9" s="7"/>
      <c r="O9" s="161"/>
      <c r="P9" s="7"/>
      <c r="Q9" s="7"/>
      <c r="R9" s="7"/>
      <c r="S9" s="7"/>
      <c r="T9" s="7"/>
      <c r="U9" s="7"/>
      <c r="V9" s="7"/>
      <c r="W9" s="7"/>
    </row>
    <row r="10" spans="1:15" s="7" customFormat="1" ht="2.25" customHeight="1">
      <c r="A10" s="166"/>
      <c r="B10" s="164"/>
      <c r="C10" s="164"/>
      <c r="D10" s="164"/>
      <c r="E10" s="160"/>
      <c r="H10" s="154"/>
      <c r="I10" s="180"/>
      <c r="J10" s="182"/>
      <c r="O10" s="161"/>
    </row>
    <row r="11" spans="1:23" s="1" customFormat="1" ht="12" customHeight="1">
      <c r="A11" s="170" t="s">
        <v>595</v>
      </c>
      <c r="B11" s="1140">
        <f>'Заявка стр. 2'!C14</f>
        <v>0</v>
      </c>
      <c r="C11" s="721"/>
      <c r="D11" s="721"/>
      <c r="E11" s="173" t="s">
        <v>978</v>
      </c>
      <c r="F11" s="871" t="str">
        <f>CONCATENATE('Заявка стр. 1'!B27)</f>
        <v>(495) 276-52-71</v>
      </c>
      <c r="G11" s="871"/>
      <c r="H11" s="153"/>
      <c r="I11" s="180"/>
      <c r="J11" s="70"/>
      <c r="K11" s="7"/>
      <c r="L11" s="7"/>
      <c r="M11" s="7"/>
      <c r="N11" s="7"/>
      <c r="O11" s="161"/>
      <c r="P11" s="7"/>
      <c r="Q11" s="7"/>
      <c r="R11" s="7"/>
      <c r="S11" s="7"/>
      <c r="T11" s="7"/>
      <c r="U11" s="7"/>
      <c r="V11" s="7"/>
      <c r="W11" s="7"/>
    </row>
    <row r="12" spans="1:23" s="1" customFormat="1" ht="4.5" customHeight="1">
      <c r="A12" s="203"/>
      <c r="B12" s="204"/>
      <c r="C12" s="204"/>
      <c r="D12" s="204"/>
      <c r="E12" s="203"/>
      <c r="F12" s="205"/>
      <c r="G12" s="202"/>
      <c r="H12" s="202"/>
      <c r="I12" s="202"/>
      <c r="J12" s="7"/>
      <c r="K12" s="70"/>
      <c r="L12" s="182"/>
      <c r="M12" s="153"/>
      <c r="N12" s="180"/>
      <c r="O12" s="161"/>
      <c r="P12" s="22"/>
      <c r="Q12" s="22"/>
      <c r="R12" s="70"/>
      <c r="S12" s="7"/>
      <c r="T12" s="7"/>
      <c r="U12" s="7"/>
      <c r="V12" s="7"/>
      <c r="W12" s="7"/>
    </row>
    <row r="13" spans="1:9" s="49" customFormat="1" ht="23.25" customHeight="1">
      <c r="A13" s="1317" t="s">
        <v>735</v>
      </c>
      <c r="B13" s="1317"/>
      <c r="C13" s="1317"/>
      <c r="D13" s="1317"/>
      <c r="E13" s="1317"/>
      <c r="F13" s="1317"/>
      <c r="G13" s="1317"/>
      <c r="H13" s="1317"/>
      <c r="I13" s="1317"/>
    </row>
    <row r="14" spans="1:9" ht="24" customHeight="1">
      <c r="A14" s="1315" t="s">
        <v>745</v>
      </c>
      <c r="B14" s="1315"/>
      <c r="C14" s="1315"/>
      <c r="D14" s="1315"/>
      <c r="E14" s="1315"/>
      <c r="F14" s="1315"/>
      <c r="G14" s="1315"/>
      <c r="H14" s="153"/>
      <c r="I14" s="340">
        <f>('Заявка стр. 2'!K23+'Заявка стр. 2'!K24+'Заявка стр. 2'!K25)/4</f>
        <v>1.5</v>
      </c>
    </row>
    <row r="15" spans="1:9" s="49" customFormat="1" ht="3.75" customHeight="1">
      <c r="A15" s="153"/>
      <c r="B15" s="153"/>
      <c r="C15" s="153"/>
      <c r="D15" s="153"/>
      <c r="E15" s="153"/>
      <c r="F15" s="153"/>
      <c r="G15" s="153"/>
      <c r="H15" s="153"/>
      <c r="I15" s="50"/>
    </row>
    <row r="16" spans="1:9" ht="24" customHeight="1" hidden="1">
      <c r="A16" s="1315" t="s">
        <v>607</v>
      </c>
      <c r="B16" s="1315"/>
      <c r="C16" s="1315"/>
      <c r="D16" s="1315"/>
      <c r="E16" s="1315"/>
      <c r="F16" s="1315"/>
      <c r="G16" s="1315"/>
      <c r="H16" s="153"/>
      <c r="I16" s="340">
        <f>('Заявка стр. 2'!K26)/10</f>
        <v>0</v>
      </c>
    </row>
    <row r="17" spans="1:9" s="49" customFormat="1" ht="3.75" customHeight="1" hidden="1">
      <c r="A17" s="153"/>
      <c r="B17" s="153"/>
      <c r="C17" s="153"/>
      <c r="D17" s="153"/>
      <c r="E17" s="153"/>
      <c r="F17" s="153"/>
      <c r="G17" s="153"/>
      <c r="H17" s="153"/>
      <c r="I17" s="50"/>
    </row>
    <row r="18" spans="1:9" ht="0.75" customHeight="1">
      <c r="A18" s="1315" t="s">
        <v>273</v>
      </c>
      <c r="B18" s="1315"/>
      <c r="C18" s="1315"/>
      <c r="D18" s="1315"/>
      <c r="E18" s="1315"/>
      <c r="F18" s="1315"/>
      <c r="G18" s="1315"/>
      <c r="H18" s="153"/>
      <c r="I18" s="419">
        <v>0</v>
      </c>
    </row>
    <row r="19" spans="1:9" s="49" customFormat="1" ht="3.75" customHeight="1">
      <c r="A19" s="129"/>
      <c r="B19" s="129"/>
      <c r="C19" s="129"/>
      <c r="D19" s="129"/>
      <c r="E19" s="129"/>
      <c r="F19" s="129"/>
      <c r="G19" s="129"/>
      <c r="H19" s="129"/>
      <c r="I19" s="126"/>
    </row>
    <row r="20" spans="1:9" ht="51">
      <c r="A20" s="26" t="s">
        <v>675</v>
      </c>
      <c r="B20" s="1309" t="s">
        <v>751</v>
      </c>
      <c r="C20" s="1310"/>
      <c r="D20" s="1311"/>
      <c r="E20" s="26" t="s">
        <v>752</v>
      </c>
      <c r="F20" s="26" t="s">
        <v>753</v>
      </c>
      <c r="G20" s="26" t="s">
        <v>754</v>
      </c>
      <c r="H20" s="1309" t="s">
        <v>755</v>
      </c>
      <c r="I20" s="1311"/>
    </row>
    <row r="21" spans="1:18" s="25" customFormat="1" ht="13.5">
      <c r="A21" s="1300" t="s">
        <v>274</v>
      </c>
      <c r="B21" s="1304"/>
      <c r="C21" s="1304"/>
      <c r="D21" s="1304"/>
      <c r="E21" s="1304"/>
      <c r="F21" s="1304"/>
      <c r="G21" s="1304"/>
      <c r="H21" s="1304"/>
      <c r="I21" s="1305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1:18" s="25" customFormat="1" ht="13.5">
      <c r="A22" s="354"/>
      <c r="B22" s="1303"/>
      <c r="C22" s="1304"/>
      <c r="D22" s="1305"/>
      <c r="E22" s="354"/>
      <c r="F22" s="354"/>
      <c r="G22" s="354"/>
      <c r="H22" s="1303"/>
      <c r="I22" s="1305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s="25" customFormat="1" ht="13.5">
      <c r="A23" s="354"/>
      <c r="B23" s="1303"/>
      <c r="C23" s="1304"/>
      <c r="D23" s="1305"/>
      <c r="E23" s="354"/>
      <c r="F23" s="354"/>
      <c r="G23" s="354"/>
      <c r="H23" s="1303"/>
      <c r="I23" s="1305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1:18" s="25" customFormat="1" ht="13.5">
      <c r="A24" s="354"/>
      <c r="B24" s="1303">
        <v>2</v>
      </c>
      <c r="C24" s="1304"/>
      <c r="D24" s="1305"/>
      <c r="E24" s="354"/>
      <c r="F24" s="354"/>
      <c r="G24" s="354"/>
      <c r="H24" s="1303"/>
      <c r="I24" s="1305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8" s="25" customFormat="1" ht="13.5">
      <c r="A25" s="354"/>
      <c r="B25" s="1303"/>
      <c r="C25" s="1304"/>
      <c r="D25" s="1305"/>
      <c r="E25" s="354"/>
      <c r="F25" s="354"/>
      <c r="G25" s="354"/>
      <c r="H25" s="1303"/>
      <c r="I25" s="1305"/>
      <c r="J25" s="116"/>
      <c r="K25" s="116"/>
      <c r="L25" s="116"/>
      <c r="M25" s="116"/>
      <c r="N25" s="116"/>
      <c r="O25" s="116"/>
      <c r="P25" s="116"/>
      <c r="Q25" s="116"/>
      <c r="R25" s="116"/>
    </row>
    <row r="26" spans="1:18" s="25" customFormat="1" ht="13.5">
      <c r="A26" s="354"/>
      <c r="B26" s="1303"/>
      <c r="C26" s="1304"/>
      <c r="D26" s="1305"/>
      <c r="E26" s="354"/>
      <c r="F26" s="354"/>
      <c r="G26" s="354"/>
      <c r="H26" s="1303"/>
      <c r="I26" s="1305"/>
      <c r="J26" s="116"/>
      <c r="K26" s="116"/>
      <c r="L26" s="116"/>
      <c r="M26" s="116"/>
      <c r="N26" s="116"/>
      <c r="O26" s="116"/>
      <c r="P26" s="116"/>
      <c r="Q26" s="116"/>
      <c r="R26" s="116"/>
    </row>
    <row r="27" spans="1:18" s="25" customFormat="1" ht="13.5">
      <c r="A27" s="354"/>
      <c r="B27" s="1303"/>
      <c r="C27" s="1304"/>
      <c r="D27" s="1305"/>
      <c r="E27" s="354"/>
      <c r="F27" s="354"/>
      <c r="G27" s="354"/>
      <c r="H27" s="1303"/>
      <c r="I27" s="1305"/>
      <c r="J27" s="116"/>
      <c r="K27" s="116"/>
      <c r="L27" s="116"/>
      <c r="M27" s="116"/>
      <c r="N27" s="116"/>
      <c r="O27" s="116"/>
      <c r="P27" s="116"/>
      <c r="Q27" s="116"/>
      <c r="R27" s="116"/>
    </row>
    <row r="28" spans="1:18" s="25" customFormat="1" ht="13.5">
      <c r="A28" s="354"/>
      <c r="B28" s="1303"/>
      <c r="C28" s="1304"/>
      <c r="D28" s="1305"/>
      <c r="E28" s="354"/>
      <c r="F28" s="354"/>
      <c r="G28" s="354"/>
      <c r="H28" s="1303"/>
      <c r="I28" s="1305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s="25" customFormat="1" ht="13.5">
      <c r="A29" s="354"/>
      <c r="B29" s="1303"/>
      <c r="C29" s="1304"/>
      <c r="D29" s="1305"/>
      <c r="E29" s="354"/>
      <c r="F29" s="354"/>
      <c r="G29" s="354"/>
      <c r="H29" s="1303"/>
      <c r="I29" s="1305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8" s="25" customFormat="1" ht="13.5">
      <c r="A30" s="354"/>
      <c r="B30" s="1303"/>
      <c r="C30" s="1304"/>
      <c r="D30" s="1305"/>
      <c r="E30" s="354"/>
      <c r="F30" s="354"/>
      <c r="G30" s="354"/>
      <c r="H30" s="1303"/>
      <c r="I30" s="1305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1:18" s="25" customFormat="1" ht="13.5">
      <c r="A31" s="354"/>
      <c r="B31" s="1303"/>
      <c r="C31" s="1304"/>
      <c r="D31" s="1305"/>
      <c r="E31" s="354"/>
      <c r="F31" s="354"/>
      <c r="G31" s="354"/>
      <c r="H31" s="1303"/>
      <c r="I31" s="1305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8" s="25" customFormat="1" ht="13.5">
      <c r="A32" s="354"/>
      <c r="B32" s="1303"/>
      <c r="C32" s="1304"/>
      <c r="D32" s="1305"/>
      <c r="E32" s="354"/>
      <c r="F32" s="354"/>
      <c r="G32" s="354"/>
      <c r="H32" s="1300" t="s">
        <v>277</v>
      </c>
      <c r="I32" s="1302"/>
      <c r="J32" s="116"/>
      <c r="K32" s="116"/>
      <c r="L32" s="116"/>
      <c r="M32" s="116"/>
      <c r="N32" s="116"/>
      <c r="O32" s="116"/>
      <c r="P32" s="116"/>
      <c r="Q32" s="116"/>
      <c r="R32" s="116"/>
    </row>
    <row r="33" spans="1:18" s="25" customFormat="1" ht="13.5">
      <c r="A33" s="1300" t="s">
        <v>275</v>
      </c>
      <c r="B33" s="1301"/>
      <c r="C33" s="1301"/>
      <c r="D33" s="1301"/>
      <c r="E33" s="1301"/>
      <c r="F33" s="1301"/>
      <c r="G33" s="1301"/>
      <c r="H33" s="1301"/>
      <c r="I33" s="1302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1:18" s="25" customFormat="1" ht="13.5">
      <c r="A34" s="354"/>
      <c r="B34" s="1303"/>
      <c r="C34" s="1304"/>
      <c r="D34" s="1305"/>
      <c r="E34" s="354"/>
      <c r="F34" s="354"/>
      <c r="G34" s="354"/>
      <c r="H34" s="1303"/>
      <c r="I34" s="1305"/>
      <c r="J34" s="116"/>
      <c r="K34" s="116"/>
      <c r="L34" s="116"/>
      <c r="M34" s="116"/>
      <c r="N34" s="116"/>
      <c r="O34" s="116"/>
      <c r="P34" s="116"/>
      <c r="Q34" s="116"/>
      <c r="R34" s="116"/>
    </row>
    <row r="35" spans="1:18" s="25" customFormat="1" ht="13.5">
      <c r="A35" s="354"/>
      <c r="B35" s="1303"/>
      <c r="C35" s="1304"/>
      <c r="D35" s="1305"/>
      <c r="E35" s="354"/>
      <c r="F35" s="354"/>
      <c r="G35" s="354"/>
      <c r="H35" s="1303"/>
      <c r="I35" s="1305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s="25" customFormat="1" ht="13.5">
      <c r="A36" s="354"/>
      <c r="B36" s="1303"/>
      <c r="C36" s="1304"/>
      <c r="D36" s="1305"/>
      <c r="E36" s="354"/>
      <c r="F36" s="354"/>
      <c r="G36" s="354"/>
      <c r="H36" s="1303"/>
      <c r="I36" s="1305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s="25" customFormat="1" ht="13.5">
      <c r="A37" s="354"/>
      <c r="B37" s="1303"/>
      <c r="C37" s="1304"/>
      <c r="D37" s="1305"/>
      <c r="E37" s="354"/>
      <c r="F37" s="354"/>
      <c r="G37" s="354"/>
      <c r="H37" s="1303"/>
      <c r="I37" s="1305"/>
      <c r="J37" s="116"/>
      <c r="K37" s="116"/>
      <c r="L37" s="116"/>
      <c r="M37" s="116"/>
      <c r="N37" s="116"/>
      <c r="O37" s="116"/>
      <c r="P37" s="116"/>
      <c r="Q37" s="116"/>
      <c r="R37" s="116"/>
    </row>
    <row r="38" spans="1:18" s="25" customFormat="1" ht="13.5">
      <c r="A38" s="354"/>
      <c r="B38" s="1303"/>
      <c r="C38" s="1304"/>
      <c r="D38" s="1305"/>
      <c r="E38" s="354"/>
      <c r="F38" s="354"/>
      <c r="G38" s="354"/>
      <c r="H38" s="1303"/>
      <c r="I38" s="1305"/>
      <c r="J38" s="116"/>
      <c r="K38" s="116"/>
      <c r="L38" s="116"/>
      <c r="M38" s="116"/>
      <c r="N38" s="116"/>
      <c r="O38" s="116"/>
      <c r="P38" s="116"/>
      <c r="Q38" s="116"/>
      <c r="R38" s="116"/>
    </row>
    <row r="39" spans="1:18" s="25" customFormat="1" ht="13.5">
      <c r="A39" s="354"/>
      <c r="B39" s="1303"/>
      <c r="C39" s="1304"/>
      <c r="D39" s="1305"/>
      <c r="E39" s="354"/>
      <c r="F39" s="354"/>
      <c r="G39" s="354"/>
      <c r="H39" s="1303"/>
      <c r="I39" s="1305"/>
      <c r="J39" s="116"/>
      <c r="K39" s="116"/>
      <c r="L39" s="116"/>
      <c r="M39" s="116"/>
      <c r="N39" s="116"/>
      <c r="O39" s="116"/>
      <c r="P39" s="116"/>
      <c r="Q39" s="116"/>
      <c r="R39" s="116"/>
    </row>
    <row r="40" spans="1:18" s="25" customFormat="1" ht="13.5">
      <c r="A40" s="354"/>
      <c r="B40" s="1303"/>
      <c r="C40" s="1304"/>
      <c r="D40" s="1305"/>
      <c r="E40" s="354"/>
      <c r="F40" s="354"/>
      <c r="G40" s="354"/>
      <c r="H40" s="1303"/>
      <c r="I40" s="1305"/>
      <c r="J40" s="116"/>
      <c r="K40" s="116"/>
      <c r="L40" s="116"/>
      <c r="M40" s="116"/>
      <c r="N40" s="116"/>
      <c r="O40" s="116"/>
      <c r="P40" s="116"/>
      <c r="Q40" s="116"/>
      <c r="R40" s="116"/>
    </row>
    <row r="41" spans="1:18" s="25" customFormat="1" ht="13.5">
      <c r="A41" s="354"/>
      <c r="B41" s="1303"/>
      <c r="C41" s="1304"/>
      <c r="D41" s="1305"/>
      <c r="E41" s="354"/>
      <c r="F41" s="354"/>
      <c r="G41" s="354"/>
      <c r="H41" s="1303"/>
      <c r="I41" s="1305"/>
      <c r="J41" s="116"/>
      <c r="K41" s="116"/>
      <c r="L41" s="116"/>
      <c r="M41" s="116"/>
      <c r="N41" s="116"/>
      <c r="O41" s="116"/>
      <c r="P41" s="116"/>
      <c r="Q41" s="116"/>
      <c r="R41" s="116"/>
    </row>
    <row r="42" spans="1:18" s="25" customFormat="1" ht="13.5">
      <c r="A42" s="354"/>
      <c r="B42" s="1303"/>
      <c r="C42" s="1304"/>
      <c r="D42" s="1305"/>
      <c r="E42" s="354"/>
      <c r="F42" s="354"/>
      <c r="G42" s="354"/>
      <c r="H42" s="1303"/>
      <c r="I42" s="1305"/>
      <c r="J42" s="116"/>
      <c r="K42" s="116"/>
      <c r="L42" s="116"/>
      <c r="M42" s="116"/>
      <c r="N42" s="116"/>
      <c r="O42" s="116"/>
      <c r="P42" s="116"/>
      <c r="Q42" s="116"/>
      <c r="R42" s="116"/>
    </row>
    <row r="43" spans="1:18" s="25" customFormat="1" ht="13.5">
      <c r="A43" s="354"/>
      <c r="B43" s="1303"/>
      <c r="C43" s="1304"/>
      <c r="D43" s="1305"/>
      <c r="E43" s="354"/>
      <c r="F43" s="354"/>
      <c r="G43" s="354"/>
      <c r="H43" s="1303"/>
      <c r="I43" s="1305"/>
      <c r="J43" s="116"/>
      <c r="K43" s="116"/>
      <c r="L43" s="116"/>
      <c r="M43" s="116"/>
      <c r="N43" s="116"/>
      <c r="O43" s="116"/>
      <c r="P43" s="116"/>
      <c r="Q43" s="116"/>
      <c r="R43" s="116"/>
    </row>
    <row r="44" spans="1:18" s="25" customFormat="1" ht="13.5" customHeight="1">
      <c r="A44" s="1300" t="s">
        <v>278</v>
      </c>
      <c r="B44" s="1301"/>
      <c r="C44" s="1301"/>
      <c r="D44" s="1301"/>
      <c r="E44" s="1301"/>
      <c r="F44" s="1301"/>
      <c r="G44" s="1301"/>
      <c r="H44" s="1301"/>
      <c r="I44" s="1302"/>
      <c r="J44" s="116"/>
      <c r="K44" s="116"/>
      <c r="L44" s="116"/>
      <c r="M44" s="116"/>
      <c r="N44" s="116"/>
      <c r="O44" s="116"/>
      <c r="P44" s="116"/>
      <c r="Q44" s="116"/>
      <c r="R44" s="116"/>
    </row>
    <row r="45" spans="1:18" s="25" customFormat="1" ht="13.5">
      <c r="A45" s="691" t="s">
        <v>276</v>
      </c>
      <c r="B45" s="1303"/>
      <c r="C45" s="1304"/>
      <c r="D45" s="1304"/>
      <c r="E45" s="1305"/>
      <c r="F45" s="691" t="s">
        <v>279</v>
      </c>
      <c r="G45" s="688"/>
      <c r="H45" s="689"/>
      <c r="I45" s="690"/>
      <c r="J45" s="116"/>
      <c r="K45" s="116"/>
      <c r="L45" s="116"/>
      <c r="M45" s="116"/>
      <c r="N45" s="116"/>
      <c r="O45" s="116"/>
      <c r="P45" s="116"/>
      <c r="Q45" s="116"/>
      <c r="R45" s="116"/>
    </row>
    <row r="46" spans="1:18" s="25" customFormat="1" ht="13.5">
      <c r="A46" s="354"/>
      <c r="B46" s="1303"/>
      <c r="C46" s="1304"/>
      <c r="D46" s="1305"/>
      <c r="E46" s="354"/>
      <c r="F46" s="354"/>
      <c r="G46" s="354"/>
      <c r="H46" s="1303"/>
      <c r="I46" s="1305"/>
      <c r="J46" s="116"/>
      <c r="K46" s="116"/>
      <c r="L46" s="116"/>
      <c r="M46" s="116"/>
      <c r="N46" s="116"/>
      <c r="O46" s="116"/>
      <c r="P46" s="116"/>
      <c r="Q46" s="116"/>
      <c r="R46" s="116"/>
    </row>
    <row r="47" spans="1:9" ht="11.25" customHeight="1">
      <c r="A47" s="40"/>
      <c r="B47" s="40"/>
      <c r="C47" s="40"/>
      <c r="D47" s="40"/>
      <c r="E47" s="40"/>
      <c r="F47" s="40"/>
      <c r="G47" s="40"/>
      <c r="H47" s="40"/>
      <c r="I47" s="40"/>
    </row>
    <row r="48" spans="1:11" ht="12.75">
      <c r="A48" s="708" t="s">
        <v>564</v>
      </c>
      <c r="B48" s="708"/>
      <c r="C48" s="1"/>
      <c r="D48" s="7"/>
      <c r="E48" s="224"/>
      <c r="F48" s="224"/>
      <c r="G48" s="224"/>
      <c r="H48" s="224"/>
      <c r="I48" s="224"/>
      <c r="J48" s="224"/>
      <c r="K48" s="353"/>
    </row>
    <row r="49" spans="1:11" ht="25.5" customHeight="1">
      <c r="A49" s="1014" t="str">
        <f>CONCATENATE('Заявка стр. 1'!B4)</f>
        <v>АО "Научно-производственный центр "Вигстар"</v>
      </c>
      <c r="B49" s="1014"/>
      <c r="C49" s="1014"/>
      <c r="D49" s="1014"/>
      <c r="E49" s="1014"/>
      <c r="F49" s="1014"/>
      <c r="G49" s="1014"/>
      <c r="H49" s="1014"/>
      <c r="I49" s="1014"/>
      <c r="J49" s="1"/>
      <c r="K49" s="7"/>
    </row>
    <row r="50" spans="1:11" ht="12.75">
      <c r="A50" s="803" t="str">
        <f>CONCATENATE('Заявка стр. 1'!B17)</f>
        <v>Заместитель генерального директора по экономике и финансам</v>
      </c>
      <c r="B50" s="803"/>
      <c r="C50" s="803"/>
      <c r="D50" s="803"/>
      <c r="E50" s="803"/>
      <c r="F50" s="803"/>
      <c r="G50" s="803"/>
      <c r="H50" s="144"/>
      <c r="I50" s="144"/>
      <c r="J50" s="144"/>
      <c r="K50" s="144"/>
    </row>
    <row r="51" spans="1:9" ht="12.75">
      <c r="A51" s="1127" t="str">
        <f>CONCATENATE('Заявка стр. 1'!A19)</f>
        <v>Короткевич Олег Иосифович</v>
      </c>
      <c r="B51" s="1127"/>
      <c r="C51" s="1127"/>
      <c r="D51" s="1127"/>
      <c r="E51" s="1127"/>
      <c r="F51" s="1127"/>
      <c r="G51" s="820" t="s">
        <v>260</v>
      </c>
      <c r="H51" s="820"/>
      <c r="I51" s="820"/>
    </row>
    <row r="52" spans="1:11" ht="12.75">
      <c r="A52" s="43"/>
      <c r="B52" s="43"/>
      <c r="C52" s="313"/>
      <c r="D52" s="314"/>
      <c r="E52" s="1253" t="s">
        <v>991</v>
      </c>
      <c r="F52" s="1253"/>
      <c r="G52" s="314"/>
      <c r="H52" s="314"/>
      <c r="I52" s="314"/>
      <c r="J52" s="144"/>
      <c r="K52" s="144"/>
    </row>
    <row r="53" spans="1:9" ht="12.75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12.75">
      <c r="A54" s="49"/>
      <c r="B54" s="49"/>
      <c r="C54" s="49"/>
      <c r="D54" s="49"/>
      <c r="E54" s="49"/>
      <c r="F54" s="49"/>
      <c r="G54" s="49"/>
      <c r="H54" s="49"/>
      <c r="I54" s="49"/>
    </row>
    <row r="55" spans="1:9" ht="12.7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2.75">
      <c r="A56" s="49"/>
      <c r="B56" s="49"/>
      <c r="C56" s="49"/>
      <c r="D56" s="49"/>
      <c r="E56" s="49"/>
      <c r="F56" s="49"/>
      <c r="G56" s="49"/>
      <c r="H56" s="49"/>
      <c r="I56" s="49"/>
    </row>
    <row r="57" spans="1:9" ht="12.75">
      <c r="A57" s="49"/>
      <c r="B57" s="49"/>
      <c r="C57" s="49"/>
      <c r="D57" s="49"/>
      <c r="E57" s="49"/>
      <c r="F57" s="49"/>
      <c r="G57" s="49"/>
      <c r="H57" s="49"/>
      <c r="I57" s="49"/>
    </row>
    <row r="58" spans="1:9" ht="12.75">
      <c r="A58" s="49"/>
      <c r="B58" s="49"/>
      <c r="C58" s="49"/>
      <c r="D58" s="49"/>
      <c r="E58" s="49"/>
      <c r="F58" s="49"/>
      <c r="G58" s="49"/>
      <c r="H58" s="49"/>
      <c r="I58" s="49"/>
    </row>
    <row r="59" spans="1:9" ht="12.75">
      <c r="A59" s="49"/>
      <c r="B59" s="49"/>
      <c r="C59" s="49"/>
      <c r="D59" s="49"/>
      <c r="E59" s="49"/>
      <c r="F59" s="49"/>
      <c r="G59" s="49"/>
      <c r="H59" s="49"/>
      <c r="I59" s="49"/>
    </row>
    <row r="60" spans="1:9" ht="12.75">
      <c r="A60" s="49"/>
      <c r="B60" s="49"/>
      <c r="C60" s="49"/>
      <c r="D60" s="49"/>
      <c r="E60" s="49"/>
      <c r="F60" s="49"/>
      <c r="G60" s="49"/>
      <c r="H60" s="49"/>
      <c r="I60" s="49"/>
    </row>
    <row r="61" spans="1:9" ht="12.75">
      <c r="A61" s="49"/>
      <c r="B61" s="49"/>
      <c r="C61" s="49"/>
      <c r="D61" s="49"/>
      <c r="E61" s="49"/>
      <c r="F61" s="49"/>
      <c r="G61" s="49"/>
      <c r="H61" s="49"/>
      <c r="I61" s="49"/>
    </row>
    <row r="62" spans="1:9" ht="12.75">
      <c r="A62" s="49"/>
      <c r="B62" s="49"/>
      <c r="C62" s="49"/>
      <c r="D62" s="49"/>
      <c r="E62" s="49"/>
      <c r="F62" s="49"/>
      <c r="G62" s="49"/>
      <c r="H62" s="49"/>
      <c r="I62" s="49"/>
    </row>
    <row r="63" spans="1:9" ht="12.75">
      <c r="A63" s="49"/>
      <c r="B63" s="49"/>
      <c r="C63" s="49"/>
      <c r="D63" s="49"/>
      <c r="E63" s="49"/>
      <c r="F63" s="49"/>
      <c r="G63" s="49"/>
      <c r="H63" s="49"/>
      <c r="I63" s="49"/>
    </row>
    <row r="64" spans="1:9" ht="12.75">
      <c r="A64" s="49"/>
      <c r="B64" s="49"/>
      <c r="C64" s="49"/>
      <c r="D64" s="49"/>
      <c r="E64" s="49"/>
      <c r="F64" s="49"/>
      <c r="G64" s="49"/>
      <c r="H64" s="49"/>
      <c r="I64" s="49"/>
    </row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</sheetData>
  <sheetProtection password="CC03" sheet="1" objects="1" scenarios="1" formatCells="0" formatColumns="0" formatRows="0" insertRows="0" selectLockedCells="1"/>
  <mergeCells count="75">
    <mergeCell ref="B9:C9"/>
    <mergeCell ref="B11:D11"/>
    <mergeCell ref="B42:D42"/>
    <mergeCell ref="A16:G16"/>
    <mergeCell ref="H22:I22"/>
    <mergeCell ref="A18:G18"/>
    <mergeCell ref="A21:I21"/>
    <mergeCell ref="A13:I13"/>
    <mergeCell ref="H25:I25"/>
    <mergeCell ref="B23:D23"/>
    <mergeCell ref="B43:D43"/>
    <mergeCell ref="B34:D34"/>
    <mergeCell ref="B35:D35"/>
    <mergeCell ref="B36:D36"/>
    <mergeCell ref="B37:D37"/>
    <mergeCell ref="B38:D38"/>
    <mergeCell ref="B39:D39"/>
    <mergeCell ref="B40:D40"/>
    <mergeCell ref="B41:D41"/>
    <mergeCell ref="M3:N3"/>
    <mergeCell ref="B20:D20"/>
    <mergeCell ref="D3:E3"/>
    <mergeCell ref="H20:I20"/>
    <mergeCell ref="F1:F3"/>
    <mergeCell ref="F5:G7"/>
    <mergeCell ref="F9:G9"/>
    <mergeCell ref="A14:G14"/>
    <mergeCell ref="A1:C1"/>
    <mergeCell ref="A2:C2"/>
    <mergeCell ref="G1:I2"/>
    <mergeCell ref="H23:I23"/>
    <mergeCell ref="H24:I24"/>
    <mergeCell ref="B24:D24"/>
    <mergeCell ref="A3:B3"/>
    <mergeCell ref="D2:E2"/>
    <mergeCell ref="B5:D5"/>
    <mergeCell ref="A7:D7"/>
    <mergeCell ref="B22:D22"/>
    <mergeCell ref="F11:G11"/>
    <mergeCell ref="B25:D25"/>
    <mergeCell ref="A33:I33"/>
    <mergeCell ref="H31:I31"/>
    <mergeCell ref="H32:I32"/>
    <mergeCell ref="H26:I26"/>
    <mergeCell ref="H27:I27"/>
    <mergeCell ref="H28:I28"/>
    <mergeCell ref="H29:I29"/>
    <mergeCell ref="H30:I30"/>
    <mergeCell ref="B26:D26"/>
    <mergeCell ref="H34:I34"/>
    <mergeCell ref="H35:I35"/>
    <mergeCell ref="B31:D31"/>
    <mergeCell ref="B32:D32"/>
    <mergeCell ref="B27:D27"/>
    <mergeCell ref="B28:D28"/>
    <mergeCell ref="B29:D29"/>
    <mergeCell ref="B30:D30"/>
    <mergeCell ref="H43:I43"/>
    <mergeCell ref="H37:I37"/>
    <mergeCell ref="H38:I38"/>
    <mergeCell ref="H40:I40"/>
    <mergeCell ref="H36:I36"/>
    <mergeCell ref="H39:I39"/>
    <mergeCell ref="H41:I41"/>
    <mergeCell ref="H42:I42"/>
    <mergeCell ref="A44:I44"/>
    <mergeCell ref="B45:E45"/>
    <mergeCell ref="E52:F52"/>
    <mergeCell ref="A49:I49"/>
    <mergeCell ref="A50:G50"/>
    <mergeCell ref="G51:I51"/>
    <mergeCell ref="A51:F51"/>
    <mergeCell ref="H46:I46"/>
    <mergeCell ref="A48:B48"/>
    <mergeCell ref="B46:D46"/>
  </mergeCells>
  <conditionalFormatting sqref="K48">
    <cfRule type="expression" priority="1" dxfId="67" stopIfTrue="1">
      <formula>OR($J$45&gt;0,$J$47&gt;0,$K$34&gt;0,$K$24&gt;0,#REF!&gt;0,#REF!&gt;0)</formula>
    </cfRule>
    <cfRule type="expression" priority="2" dxfId="65" stopIfTrue="1">
      <formula>AND($J$16&lt;9,$J$17&lt;9)</formula>
    </cfRule>
  </conditionalFormatting>
  <conditionalFormatting sqref="I5 I9 I7 I11">
    <cfRule type="cellIs" priority="3" dxfId="65" operator="equal" stopIfTrue="1">
      <formula>0</formula>
    </cfRule>
  </conditionalFormatting>
  <conditionalFormatting sqref="B11:D11 B9 D9">
    <cfRule type="cellIs" priority="4" dxfId="66" operator="equal" stopIfTrue="1">
      <formula>0</formula>
    </cfRule>
  </conditionalFormatting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Y77"/>
  <sheetViews>
    <sheetView zoomScale="115" zoomScaleNormal="115" zoomScalePageLayoutView="0" workbookViewId="0" topLeftCell="A1">
      <selection activeCell="A31" sqref="A31"/>
    </sheetView>
  </sheetViews>
  <sheetFormatPr defaultColWidth="9.00390625" defaultRowHeight="12.75"/>
  <cols>
    <col min="1" max="1" width="7.375" style="0" customWidth="1"/>
    <col min="2" max="2" width="5.875" style="0" customWidth="1"/>
    <col min="3" max="3" width="6.875" style="0" customWidth="1"/>
    <col min="4" max="4" width="5.875" style="0" customWidth="1"/>
    <col min="5" max="5" width="14.25390625" style="0" customWidth="1"/>
    <col min="6" max="6" width="14.875" style="0" customWidth="1"/>
    <col min="7" max="7" width="17.125" style="0" customWidth="1"/>
    <col min="8" max="8" width="9.00390625" style="0" customWidth="1"/>
    <col min="9" max="9" width="13.25390625" style="0" customWidth="1"/>
    <col min="10" max="10" width="12.625" style="49" customWidth="1"/>
    <col min="11" max="18" width="9.125" style="49" customWidth="1"/>
  </cols>
  <sheetData>
    <row r="1" spans="1:10" ht="18" customHeight="1">
      <c r="A1" s="1034" t="s">
        <v>660</v>
      </c>
      <c r="B1" s="1034"/>
      <c r="C1" s="1034"/>
      <c r="D1" s="115"/>
      <c r="E1" s="94"/>
      <c r="F1" s="1318" t="s">
        <v>818</v>
      </c>
      <c r="G1" s="1009" t="s">
        <v>655</v>
      </c>
      <c r="H1" s="1009"/>
      <c r="I1" s="1009"/>
      <c r="J1" s="110"/>
    </row>
    <row r="2" spans="1:10" ht="24.75" customHeight="1">
      <c r="A2" s="1316" t="s">
        <v>1067</v>
      </c>
      <c r="B2" s="1316"/>
      <c r="C2" s="1316"/>
      <c r="D2" s="1307" t="str">
        <f>'содержание '!C79</f>
        <v>ArmHiTec-2016</v>
      </c>
      <c r="E2" s="1307"/>
      <c r="F2" s="1313"/>
      <c r="G2" s="1009"/>
      <c r="H2" s="1009"/>
      <c r="I2" s="1009"/>
      <c r="J2" s="99"/>
    </row>
    <row r="3" spans="1:14" ht="15" customHeight="1">
      <c r="A3" s="1306">
        <v>1</v>
      </c>
      <c r="B3" s="1306"/>
      <c r="C3" s="350" t="str">
        <f>CONCATENATE('содержание '!C104)</f>
        <v>/AHT</v>
      </c>
      <c r="D3" s="1312" t="s">
        <v>748</v>
      </c>
      <c r="E3" s="1312"/>
      <c r="F3" s="1314"/>
      <c r="G3" s="351" t="s">
        <v>122</v>
      </c>
      <c r="H3" s="351"/>
      <c r="I3" s="352" t="str">
        <f>'содержание '!C95</f>
        <v>14 сентября 2016 г.</v>
      </c>
      <c r="J3" s="99"/>
      <c r="K3" s="22"/>
      <c r="M3" s="1308"/>
      <c r="N3" s="1308"/>
    </row>
    <row r="4" spans="1:23" s="1" customFormat="1" ht="3.75" customHeight="1">
      <c r="A4" s="31"/>
      <c r="B4" s="34"/>
      <c r="C4" s="152"/>
      <c r="D4" s="152"/>
      <c r="E4" s="152"/>
      <c r="F4" s="152"/>
      <c r="G4" s="177"/>
      <c r="H4" s="177"/>
      <c r="I4" s="149"/>
      <c r="J4" s="149"/>
      <c r="K4" s="149"/>
      <c r="L4" s="149"/>
      <c r="M4" s="52"/>
      <c r="N4" s="52"/>
      <c r="O4" s="7"/>
      <c r="P4" s="22"/>
      <c r="Q4" s="22"/>
      <c r="R4" s="22"/>
      <c r="S4" s="7"/>
      <c r="T4" s="7"/>
      <c r="U4" s="7"/>
      <c r="V4" s="7"/>
      <c r="W4" s="7"/>
    </row>
    <row r="5" spans="1:23" s="1" customFormat="1" ht="12" customHeight="1">
      <c r="A5" s="1112" t="s">
        <v>817</v>
      </c>
      <c r="B5" s="1112"/>
      <c r="C5" s="1112"/>
      <c r="D5" s="1112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686" t="s">
        <v>272</v>
      </c>
      <c r="I5" s="291">
        <f>'Заявка стр. 2'!L8</f>
        <v>0</v>
      </c>
      <c r="J5" s="188"/>
      <c r="K5" s="7"/>
      <c r="L5" s="7"/>
      <c r="M5" s="7"/>
      <c r="N5" s="7"/>
      <c r="O5" s="161"/>
      <c r="P5" s="7"/>
      <c r="Q5" s="7"/>
      <c r="R5" s="7"/>
      <c r="S5" s="7"/>
      <c r="T5" s="7"/>
      <c r="U5" s="7"/>
      <c r="V5" s="7"/>
      <c r="W5" s="7"/>
    </row>
    <row r="6" spans="1:15" s="7" customFormat="1" ht="2.25" customHeight="1">
      <c r="A6" s="193"/>
      <c r="B6" s="194"/>
      <c r="C6" s="165"/>
      <c r="D6" s="165"/>
      <c r="E6" s="155"/>
      <c r="F6" s="728"/>
      <c r="G6" s="728"/>
      <c r="H6" s="161"/>
      <c r="I6" s="157"/>
      <c r="J6" s="188"/>
      <c r="O6" s="161"/>
    </row>
    <row r="7" spans="1:23" s="1" customFormat="1" ht="12" customHeight="1">
      <c r="A7" s="1321" t="s">
        <v>653</v>
      </c>
      <c r="B7" s="1321"/>
      <c r="C7" s="1321"/>
      <c r="D7" s="1321"/>
      <c r="E7" s="174"/>
      <c r="F7" s="818"/>
      <c r="G7" s="818"/>
      <c r="H7" s="153" t="s">
        <v>713</v>
      </c>
      <c r="I7" s="291">
        <f>'Заявка стр. 2'!L10</f>
        <v>0</v>
      </c>
      <c r="J7" s="188"/>
      <c r="K7" s="7"/>
      <c r="L7" s="7"/>
      <c r="M7" s="7"/>
      <c r="N7" s="7"/>
      <c r="O7" s="161"/>
      <c r="P7" s="7"/>
      <c r="Q7" s="7"/>
      <c r="R7" s="7"/>
      <c r="S7" s="7"/>
      <c r="T7" s="7"/>
      <c r="U7" s="7"/>
      <c r="V7" s="7"/>
      <c r="W7" s="7"/>
    </row>
    <row r="8" spans="1:15" s="7" customFormat="1" ht="2.25" customHeight="1">
      <c r="A8" s="166"/>
      <c r="B8" s="164"/>
      <c r="C8" s="167"/>
      <c r="D8" s="167"/>
      <c r="E8" s="157"/>
      <c r="H8" s="154"/>
      <c r="I8" s="180"/>
      <c r="J8" s="181"/>
      <c r="O8" s="161"/>
    </row>
    <row r="9" spans="1:23" s="1" customFormat="1" ht="12" customHeight="1">
      <c r="A9" s="170" t="s">
        <v>982</v>
      </c>
      <c r="B9" s="724" t="s">
        <v>324</v>
      </c>
      <c r="C9" s="724"/>
      <c r="D9" s="724"/>
      <c r="E9" s="155" t="s">
        <v>977</v>
      </c>
      <c r="F9" s="871" t="str">
        <f>CONCATENATE('Заявка стр. 1'!A25)</f>
        <v>Симонова Наталья Владимировна</v>
      </c>
      <c r="G9" s="871"/>
      <c r="H9" s="153" t="s">
        <v>661</v>
      </c>
      <c r="I9" s="415"/>
      <c r="J9" s="70"/>
      <c r="K9" s="7"/>
      <c r="L9" s="7"/>
      <c r="M9" s="7"/>
      <c r="N9" s="7"/>
      <c r="O9" s="161"/>
      <c r="P9" s="7"/>
      <c r="Q9" s="7"/>
      <c r="R9" s="7"/>
      <c r="S9" s="7"/>
      <c r="T9" s="7"/>
      <c r="U9" s="7"/>
      <c r="V9" s="7"/>
      <c r="W9" s="7"/>
    </row>
    <row r="10" spans="1:15" s="7" customFormat="1" ht="2.25" customHeight="1">
      <c r="A10" s="166"/>
      <c r="B10" s="164"/>
      <c r="C10" s="164"/>
      <c r="D10" s="164"/>
      <c r="E10" s="160"/>
      <c r="H10" s="154"/>
      <c r="I10" s="180"/>
      <c r="J10" s="182"/>
      <c r="O10" s="161"/>
    </row>
    <row r="11" spans="1:23" s="1" customFormat="1" ht="12" customHeight="1">
      <c r="A11" s="170" t="s">
        <v>595</v>
      </c>
      <c r="B11" s="1162" t="s">
        <v>654</v>
      </c>
      <c r="C11" s="1239"/>
      <c r="D11" s="1239"/>
      <c r="E11" s="173" t="s">
        <v>978</v>
      </c>
      <c r="F11" s="871" t="str">
        <f>CONCATENATE('Заявка стр. 1'!B27)</f>
        <v>(495) 276-52-71</v>
      </c>
      <c r="G11" s="871"/>
      <c r="H11" s="153"/>
      <c r="I11" s="180"/>
      <c r="J11" s="70"/>
      <c r="K11" s="7"/>
      <c r="L11" s="7"/>
      <c r="M11" s="7"/>
      <c r="N11" s="7"/>
      <c r="O11" s="161"/>
      <c r="P11" s="7"/>
      <c r="Q11" s="7"/>
      <c r="R11" s="7"/>
      <c r="S11" s="7"/>
      <c r="T11" s="7"/>
      <c r="U11" s="7"/>
      <c r="V11" s="7"/>
      <c r="W11" s="7"/>
    </row>
    <row r="12" spans="1:23" s="1" customFormat="1" ht="4.5" customHeight="1">
      <c r="A12" s="203"/>
      <c r="B12" s="204"/>
      <c r="C12" s="204"/>
      <c r="D12" s="204"/>
      <c r="E12" s="203"/>
      <c r="F12" s="205"/>
      <c r="G12" s="202"/>
      <c r="H12" s="202"/>
      <c r="I12" s="202"/>
      <c r="J12" s="7"/>
      <c r="K12" s="70"/>
      <c r="L12" s="182"/>
      <c r="M12" s="153"/>
      <c r="N12" s="180"/>
      <c r="O12" s="161"/>
      <c r="P12" s="22"/>
      <c r="Q12" s="22"/>
      <c r="R12" s="70"/>
      <c r="S12" s="7"/>
      <c r="T12" s="7"/>
      <c r="U12" s="7"/>
      <c r="V12" s="7"/>
      <c r="W12" s="7"/>
    </row>
    <row r="13" spans="1:9" s="49" customFormat="1" ht="16.5" customHeight="1">
      <c r="A13" s="1317" t="s">
        <v>735</v>
      </c>
      <c r="B13" s="1317"/>
      <c r="C13" s="1317"/>
      <c r="D13" s="1317"/>
      <c r="E13" s="1317"/>
      <c r="F13" s="1317"/>
      <c r="G13" s="1317"/>
      <c r="H13" s="1317"/>
      <c r="I13" s="1317"/>
    </row>
    <row r="14" spans="1:9" ht="24" customHeight="1">
      <c r="A14" s="1315" t="s">
        <v>657</v>
      </c>
      <c r="B14" s="1315"/>
      <c r="C14" s="1315"/>
      <c r="D14" s="1315"/>
      <c r="E14" s="1315"/>
      <c r="F14" s="1315"/>
      <c r="G14" s="1315"/>
      <c r="H14" s="153"/>
      <c r="I14" s="340">
        <v>0</v>
      </c>
    </row>
    <row r="15" spans="1:9" s="49" customFormat="1" ht="3.75" customHeight="1">
      <c r="A15" s="153"/>
      <c r="B15" s="153"/>
      <c r="C15" s="153"/>
      <c r="D15" s="153"/>
      <c r="E15" s="153"/>
      <c r="F15" s="153"/>
      <c r="G15" s="153"/>
      <c r="H15" s="153"/>
      <c r="I15" s="50"/>
    </row>
    <row r="16" spans="1:9" ht="24" customHeight="1">
      <c r="A16" s="1322">
        <f>CONCATENATE('Пр. 10'!A22)</f>
      </c>
      <c r="B16" s="1322"/>
      <c r="C16" s="1322"/>
      <c r="D16" s="1322"/>
      <c r="E16" s="1322"/>
      <c r="F16" s="1322"/>
      <c r="G16" s="1322"/>
      <c r="H16" s="1322"/>
      <c r="I16" s="1322"/>
    </row>
    <row r="17" spans="1:9" ht="12.75" customHeight="1">
      <c r="A17" s="1319" t="s">
        <v>48</v>
      </c>
      <c r="B17" s="1320"/>
      <c r="C17" s="1320"/>
      <c r="D17" s="1320"/>
      <c r="E17" s="1320"/>
      <c r="F17" s="1320"/>
      <c r="G17" s="1320"/>
      <c r="H17" s="1320"/>
      <c r="I17" s="1320"/>
    </row>
    <row r="18" spans="1:9" s="49" customFormat="1" ht="3.75" customHeight="1">
      <c r="A18" s="153"/>
      <c r="B18" s="153"/>
      <c r="C18" s="153"/>
      <c r="D18" s="153"/>
      <c r="E18" s="153"/>
      <c r="F18" s="153"/>
      <c r="G18" s="153"/>
      <c r="H18" s="153"/>
      <c r="I18" s="50"/>
    </row>
    <row r="19" spans="1:9" s="49" customFormat="1" ht="16.5" customHeight="1">
      <c r="A19" s="1317" t="s">
        <v>47</v>
      </c>
      <c r="B19" s="1317"/>
      <c r="C19" s="1317"/>
      <c r="D19" s="1317"/>
      <c r="E19" s="1317"/>
      <c r="F19" s="1317"/>
      <c r="G19" s="1317"/>
      <c r="H19" s="1317"/>
      <c r="I19" s="1317"/>
    </row>
    <row r="20" spans="1:9" ht="24" customHeight="1">
      <c r="A20" s="1315" t="s">
        <v>658</v>
      </c>
      <c r="B20" s="1315"/>
      <c r="C20" s="1315"/>
      <c r="D20" s="1315"/>
      <c r="E20" s="1315"/>
      <c r="F20" s="1315"/>
      <c r="G20" s="1315"/>
      <c r="H20" s="153"/>
      <c r="I20" s="483">
        <f>'Заявка стр. 2'!K44</f>
        <v>0</v>
      </c>
    </row>
    <row r="21" spans="1:9" s="49" customFormat="1" ht="3.75" customHeight="1">
      <c r="A21" s="153"/>
      <c r="B21" s="153"/>
      <c r="C21" s="153"/>
      <c r="D21" s="153"/>
      <c r="E21" s="153"/>
      <c r="F21" s="153"/>
      <c r="G21" s="153"/>
      <c r="H21" s="153"/>
      <c r="I21" s="50"/>
    </row>
    <row r="22" spans="1:9" ht="24" customHeight="1">
      <c r="A22" s="1322" t="str">
        <f>CONCATENATE('Пр. 10'!A22," ",'Пр. 10'!A29)</f>
        <v> </v>
      </c>
      <c r="B22" s="1322"/>
      <c r="C22" s="1322"/>
      <c r="D22" s="1322"/>
      <c r="E22" s="1322"/>
      <c r="F22" s="1322"/>
      <c r="G22" s="1322"/>
      <c r="H22" s="1322"/>
      <c r="I22" s="1322"/>
    </row>
    <row r="23" spans="1:9" ht="12.75" customHeight="1">
      <c r="A23" s="1319" t="s">
        <v>48</v>
      </c>
      <c r="B23" s="1320"/>
      <c r="C23" s="1320"/>
      <c r="D23" s="1320"/>
      <c r="E23" s="1320"/>
      <c r="F23" s="1320"/>
      <c r="G23" s="1320"/>
      <c r="H23" s="1320"/>
      <c r="I23" s="1320"/>
    </row>
    <row r="24" spans="1:9" s="49" customFormat="1" ht="3.75" customHeight="1">
      <c r="A24" s="153"/>
      <c r="B24" s="153"/>
      <c r="C24" s="153"/>
      <c r="D24" s="153"/>
      <c r="E24" s="153"/>
      <c r="F24" s="153"/>
      <c r="G24" s="153"/>
      <c r="H24" s="153"/>
      <c r="I24" s="50"/>
    </row>
    <row r="25" spans="1:9" ht="24" customHeight="1">
      <c r="A25" s="1315" t="s">
        <v>659</v>
      </c>
      <c r="B25" s="1315"/>
      <c r="C25" s="1315"/>
      <c r="D25" s="1315"/>
      <c r="E25" s="1315"/>
      <c r="F25" s="1315"/>
      <c r="G25" s="1315"/>
      <c r="H25" s="153"/>
      <c r="I25" s="483">
        <f>'Заявка стр. 2'!K45</f>
        <v>0</v>
      </c>
    </row>
    <row r="26" spans="1:9" s="49" customFormat="1" ht="3.75" customHeight="1">
      <c r="A26" s="153"/>
      <c r="B26" s="153"/>
      <c r="C26" s="153"/>
      <c r="D26" s="153"/>
      <c r="E26" s="153"/>
      <c r="F26" s="153"/>
      <c r="G26" s="153"/>
      <c r="H26" s="153"/>
      <c r="I26" s="50"/>
    </row>
    <row r="27" spans="1:9" ht="24" customHeight="1">
      <c r="A27" s="1322" t="str">
        <f>CONCATENATE('Пр. 10'!A22," ",'Пр. 10'!A29)</f>
        <v> </v>
      </c>
      <c r="B27" s="1322"/>
      <c r="C27" s="1322"/>
      <c r="D27" s="1322"/>
      <c r="E27" s="1322"/>
      <c r="F27" s="1322"/>
      <c r="G27" s="1322"/>
      <c r="H27" s="1322"/>
      <c r="I27" s="1322"/>
    </row>
    <row r="28" spans="1:9" ht="12.75" customHeight="1">
      <c r="A28" s="1319" t="s">
        <v>48</v>
      </c>
      <c r="B28" s="1320"/>
      <c r="C28" s="1320"/>
      <c r="D28" s="1320"/>
      <c r="E28" s="1320"/>
      <c r="F28" s="1320"/>
      <c r="G28" s="1320"/>
      <c r="H28" s="1320"/>
      <c r="I28" s="1320"/>
    </row>
    <row r="29" spans="1:9" s="49" customFormat="1" ht="3.75" customHeight="1">
      <c r="A29" s="129"/>
      <c r="B29" s="129"/>
      <c r="C29" s="129"/>
      <c r="D29" s="129"/>
      <c r="E29" s="129"/>
      <c r="F29" s="129"/>
      <c r="G29" s="129"/>
      <c r="H29" s="129"/>
      <c r="I29" s="126"/>
    </row>
    <row r="30" spans="1:9" ht="51">
      <c r="A30" s="26" t="s">
        <v>675</v>
      </c>
      <c r="B30" s="1309" t="s">
        <v>751</v>
      </c>
      <c r="C30" s="1310"/>
      <c r="D30" s="1311"/>
      <c r="E30" s="26" t="s">
        <v>752</v>
      </c>
      <c r="F30" s="26" t="s">
        <v>753</v>
      </c>
      <c r="G30" s="26" t="s">
        <v>754</v>
      </c>
      <c r="H30" s="1309" t="s">
        <v>755</v>
      </c>
      <c r="I30" s="1311"/>
    </row>
    <row r="31" spans="1:18" s="25" customFormat="1" ht="13.5">
      <c r="A31" s="354">
        <v>1</v>
      </c>
      <c r="B31" s="1303"/>
      <c r="C31" s="1304"/>
      <c r="D31" s="1305"/>
      <c r="E31" s="354"/>
      <c r="F31" s="354"/>
      <c r="G31" s="354"/>
      <c r="H31" s="1303"/>
      <c r="I31" s="1305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8" s="25" customFormat="1" ht="13.5">
      <c r="A32" s="354">
        <v>2</v>
      </c>
      <c r="B32" s="1303"/>
      <c r="C32" s="1304"/>
      <c r="D32" s="1305"/>
      <c r="E32" s="354"/>
      <c r="F32" s="354"/>
      <c r="G32" s="354"/>
      <c r="H32" s="1303"/>
      <c r="I32" s="1305"/>
      <c r="J32" s="116"/>
      <c r="K32" s="116"/>
      <c r="L32" s="116"/>
      <c r="M32" s="116"/>
      <c r="N32" s="116"/>
      <c r="O32" s="116"/>
      <c r="P32" s="116"/>
      <c r="Q32" s="116"/>
      <c r="R32" s="116"/>
    </row>
    <row r="33" spans="1:18" s="25" customFormat="1" ht="13.5">
      <c r="A33" s="354"/>
      <c r="B33" s="1303"/>
      <c r="C33" s="1304"/>
      <c r="D33" s="1305"/>
      <c r="E33" s="354"/>
      <c r="F33" s="354"/>
      <c r="G33" s="354"/>
      <c r="H33" s="1303"/>
      <c r="I33" s="1305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1:18" s="25" customFormat="1" ht="13.5">
      <c r="A34" s="354"/>
      <c r="B34" s="1303"/>
      <c r="C34" s="1304"/>
      <c r="D34" s="1305"/>
      <c r="E34" s="354"/>
      <c r="F34" s="354"/>
      <c r="G34" s="354"/>
      <c r="H34" s="1303"/>
      <c r="I34" s="1305"/>
      <c r="J34" s="116"/>
      <c r="K34" s="116"/>
      <c r="L34" s="116"/>
      <c r="M34" s="116"/>
      <c r="N34" s="116"/>
      <c r="O34" s="116"/>
      <c r="P34" s="116"/>
      <c r="Q34" s="116"/>
      <c r="R34" s="116"/>
    </row>
    <row r="35" spans="1:18" s="25" customFormat="1" ht="13.5">
      <c r="A35" s="354"/>
      <c r="B35" s="1303"/>
      <c r="C35" s="1304"/>
      <c r="D35" s="1305"/>
      <c r="E35" s="354"/>
      <c r="F35" s="354"/>
      <c r="G35" s="354"/>
      <c r="H35" s="1303"/>
      <c r="I35" s="1305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s="25" customFormat="1" ht="13.5">
      <c r="A36" s="354"/>
      <c r="B36" s="1303"/>
      <c r="C36" s="1304"/>
      <c r="D36" s="1305"/>
      <c r="E36" s="354"/>
      <c r="F36" s="354"/>
      <c r="G36" s="354"/>
      <c r="H36" s="1303"/>
      <c r="I36" s="1305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s="25" customFormat="1" ht="13.5">
      <c r="A37" s="354"/>
      <c r="B37" s="1303"/>
      <c r="C37" s="1304"/>
      <c r="D37" s="1305"/>
      <c r="E37" s="354"/>
      <c r="F37" s="354"/>
      <c r="G37" s="354"/>
      <c r="H37" s="1303"/>
      <c r="I37" s="1305"/>
      <c r="J37" s="116"/>
      <c r="K37" s="116"/>
      <c r="L37" s="116"/>
      <c r="M37" s="116"/>
      <c r="N37" s="116"/>
      <c r="O37" s="116"/>
      <c r="P37" s="116"/>
      <c r="Q37" s="116"/>
      <c r="R37" s="116"/>
    </row>
    <row r="38" spans="1:18" s="25" customFormat="1" ht="13.5">
      <c r="A38" s="354"/>
      <c r="B38" s="1303"/>
      <c r="C38" s="1304"/>
      <c r="D38" s="1305"/>
      <c r="E38" s="354"/>
      <c r="F38" s="354"/>
      <c r="G38" s="354"/>
      <c r="H38" s="1303"/>
      <c r="I38" s="1305"/>
      <c r="J38" s="116"/>
      <c r="K38" s="116"/>
      <c r="L38" s="116"/>
      <c r="M38" s="116"/>
      <c r="N38" s="116"/>
      <c r="O38" s="116"/>
      <c r="P38" s="116"/>
      <c r="Q38" s="116"/>
      <c r="R38" s="116"/>
    </row>
    <row r="39" spans="1:18" s="25" customFormat="1" ht="13.5">
      <c r="A39" s="354"/>
      <c r="B39" s="1303"/>
      <c r="C39" s="1304"/>
      <c r="D39" s="1305"/>
      <c r="E39" s="354"/>
      <c r="F39" s="354"/>
      <c r="G39" s="354"/>
      <c r="H39" s="1303"/>
      <c r="I39" s="1305"/>
      <c r="J39" s="116"/>
      <c r="K39" s="116"/>
      <c r="L39" s="116"/>
      <c r="M39" s="116"/>
      <c r="N39" s="116"/>
      <c r="O39" s="116"/>
      <c r="P39" s="116"/>
      <c r="Q39" s="116"/>
      <c r="R39" s="116"/>
    </row>
    <row r="40" spans="1:18" s="25" customFormat="1" ht="13.5">
      <c r="A40" s="354"/>
      <c r="B40" s="1303"/>
      <c r="C40" s="1304"/>
      <c r="D40" s="1305"/>
      <c r="E40" s="354"/>
      <c r="F40" s="354"/>
      <c r="G40" s="354"/>
      <c r="H40" s="1303"/>
      <c r="I40" s="1305"/>
      <c r="J40" s="116"/>
      <c r="K40" s="116"/>
      <c r="L40" s="116"/>
      <c r="M40" s="116"/>
      <c r="N40" s="116"/>
      <c r="O40" s="116"/>
      <c r="P40" s="116"/>
      <c r="Q40" s="116"/>
      <c r="R40" s="116"/>
    </row>
    <row r="41" spans="1:18" s="25" customFormat="1" ht="13.5">
      <c r="A41" s="354"/>
      <c r="B41" s="1303"/>
      <c r="C41" s="1304"/>
      <c r="D41" s="1305"/>
      <c r="E41" s="354"/>
      <c r="F41" s="354"/>
      <c r="G41" s="354"/>
      <c r="H41" s="1303"/>
      <c r="I41" s="1305"/>
      <c r="J41" s="116"/>
      <c r="K41" s="116"/>
      <c r="L41" s="116"/>
      <c r="M41" s="116"/>
      <c r="N41" s="116"/>
      <c r="O41" s="116"/>
      <c r="P41" s="116"/>
      <c r="Q41" s="116"/>
      <c r="R41" s="116"/>
    </row>
    <row r="42" spans="1:18" s="25" customFormat="1" ht="13.5">
      <c r="A42" s="354"/>
      <c r="B42" s="1303"/>
      <c r="C42" s="1304"/>
      <c r="D42" s="1305"/>
      <c r="E42" s="354"/>
      <c r="F42" s="354"/>
      <c r="G42" s="354"/>
      <c r="H42" s="1303"/>
      <c r="I42" s="1305"/>
      <c r="J42" s="116"/>
      <c r="K42" s="116"/>
      <c r="L42" s="116"/>
      <c r="M42" s="116"/>
      <c r="N42" s="116"/>
      <c r="O42" s="116"/>
      <c r="P42" s="116"/>
      <c r="Q42" s="116"/>
      <c r="R42" s="116"/>
    </row>
    <row r="43" spans="1:18" s="25" customFormat="1" ht="13.5">
      <c r="A43" s="354"/>
      <c r="B43" s="1303"/>
      <c r="C43" s="1304"/>
      <c r="D43" s="1305"/>
      <c r="E43" s="354"/>
      <c r="F43" s="354"/>
      <c r="G43" s="354"/>
      <c r="H43" s="1303"/>
      <c r="I43" s="1305"/>
      <c r="J43" s="116"/>
      <c r="K43" s="116"/>
      <c r="L43" s="116"/>
      <c r="M43" s="116"/>
      <c r="N43" s="116"/>
      <c r="O43" s="116"/>
      <c r="P43" s="116"/>
      <c r="Q43" s="116"/>
      <c r="R43" s="116"/>
    </row>
    <row r="44" spans="1:18" s="25" customFormat="1" ht="13.5">
      <c r="A44" s="354"/>
      <c r="B44" s="1303"/>
      <c r="C44" s="1304"/>
      <c r="D44" s="1305"/>
      <c r="E44" s="354"/>
      <c r="F44" s="354"/>
      <c r="G44" s="354"/>
      <c r="H44" s="1303"/>
      <c r="I44" s="1305"/>
      <c r="J44" s="116"/>
      <c r="K44" s="116"/>
      <c r="L44" s="116"/>
      <c r="M44" s="116"/>
      <c r="N44" s="116"/>
      <c r="O44" s="116"/>
      <c r="P44" s="116"/>
      <c r="Q44" s="116"/>
      <c r="R44" s="116"/>
    </row>
    <row r="45" spans="1:18" s="25" customFormat="1" ht="13.5">
      <c r="A45" s="354"/>
      <c r="B45" s="1303"/>
      <c r="C45" s="1304"/>
      <c r="D45" s="1305"/>
      <c r="E45" s="354"/>
      <c r="F45" s="354"/>
      <c r="G45" s="354"/>
      <c r="H45" s="1303"/>
      <c r="I45" s="1305"/>
      <c r="J45" s="116"/>
      <c r="K45" s="116"/>
      <c r="L45" s="116"/>
      <c r="M45" s="116"/>
      <c r="N45" s="116"/>
      <c r="O45" s="116"/>
      <c r="P45" s="116"/>
      <c r="Q45" s="116"/>
      <c r="R45" s="116"/>
    </row>
    <row r="46" spans="1:18" s="25" customFormat="1" ht="13.5">
      <c r="A46" s="354"/>
      <c r="B46" s="1303"/>
      <c r="C46" s="1304"/>
      <c r="D46" s="1305"/>
      <c r="E46" s="354"/>
      <c r="F46" s="354"/>
      <c r="G46" s="354"/>
      <c r="H46" s="1303"/>
      <c r="I46" s="1305"/>
      <c r="J46" s="116"/>
      <c r="K46" s="116"/>
      <c r="L46" s="116"/>
      <c r="M46" s="116"/>
      <c r="N46" s="116"/>
      <c r="O46" s="116"/>
      <c r="P46" s="116"/>
      <c r="Q46" s="116"/>
      <c r="R46" s="116"/>
    </row>
    <row r="47" spans="1:18" s="25" customFormat="1" ht="13.5">
      <c r="A47" s="354"/>
      <c r="B47" s="1303"/>
      <c r="C47" s="1304"/>
      <c r="D47" s="1305"/>
      <c r="E47" s="354"/>
      <c r="F47" s="354"/>
      <c r="G47" s="354"/>
      <c r="H47" s="1303"/>
      <c r="I47" s="1305"/>
      <c r="J47" s="116"/>
      <c r="K47" s="116"/>
      <c r="L47" s="116"/>
      <c r="M47" s="116"/>
      <c r="N47" s="116"/>
      <c r="O47" s="116"/>
      <c r="P47" s="116"/>
      <c r="Q47" s="116"/>
      <c r="R47" s="116"/>
    </row>
    <row r="48" spans="1:18" s="25" customFormat="1" ht="13.5">
      <c r="A48" s="354"/>
      <c r="B48" s="1303"/>
      <c r="C48" s="1304"/>
      <c r="D48" s="1305"/>
      <c r="E48" s="354"/>
      <c r="F48" s="354"/>
      <c r="G48" s="354"/>
      <c r="H48" s="1303"/>
      <c r="I48" s="1305"/>
      <c r="J48" s="116"/>
      <c r="K48" s="116"/>
      <c r="L48" s="116"/>
      <c r="M48" s="116"/>
      <c r="N48" s="116"/>
      <c r="O48" s="116"/>
      <c r="P48" s="116"/>
      <c r="Q48" s="116"/>
      <c r="R48" s="116"/>
    </row>
    <row r="49" spans="1:18" s="25" customFormat="1" ht="13.5">
      <c r="A49" s="354"/>
      <c r="B49" s="1303"/>
      <c r="C49" s="1304"/>
      <c r="D49" s="1305"/>
      <c r="E49" s="354"/>
      <c r="F49" s="354"/>
      <c r="G49" s="354"/>
      <c r="H49" s="1303"/>
      <c r="I49" s="1305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9" ht="11.25" customHeight="1">
      <c r="A50" s="40"/>
      <c r="B50" s="40"/>
      <c r="C50" s="40"/>
      <c r="D50" s="40"/>
      <c r="E50" s="40"/>
      <c r="F50" s="40"/>
      <c r="G50" s="40"/>
      <c r="H50" s="40"/>
      <c r="I50" s="40"/>
    </row>
    <row r="51" spans="1:11" ht="12.75">
      <c r="A51" s="708" t="s">
        <v>564</v>
      </c>
      <c r="B51" s="708"/>
      <c r="C51" s="1"/>
      <c r="D51" s="7"/>
      <c r="E51" s="224"/>
      <c r="F51" s="224"/>
      <c r="G51" s="224"/>
      <c r="H51" s="224"/>
      <c r="I51" s="224"/>
      <c r="J51" s="224"/>
      <c r="K51" s="353"/>
    </row>
    <row r="52" spans="1:11" ht="25.5" customHeight="1">
      <c r="A52" s="1014" t="str">
        <f>CONCATENATE('Заявка стр. 1'!B4)</f>
        <v>АО "Научно-производственный центр "Вигстар"</v>
      </c>
      <c r="B52" s="1014"/>
      <c r="C52" s="1014"/>
      <c r="D52" s="1014"/>
      <c r="E52" s="1014"/>
      <c r="F52" s="1014"/>
      <c r="G52" s="1014"/>
      <c r="H52" s="1014"/>
      <c r="I52" s="1014"/>
      <c r="J52" s="1"/>
      <c r="K52" s="7"/>
    </row>
    <row r="53" spans="1:11" ht="12.75">
      <c r="A53" s="803" t="str">
        <f>CONCATENATE('Заявка стр. 1'!B17)</f>
        <v>Заместитель генерального директора по экономике и финансам</v>
      </c>
      <c r="B53" s="803"/>
      <c r="C53" s="803"/>
      <c r="D53" s="803"/>
      <c r="E53" s="803"/>
      <c r="F53" s="803"/>
      <c r="G53" s="803"/>
      <c r="H53" s="144"/>
      <c r="I53" s="144"/>
      <c r="J53" s="144"/>
      <c r="K53" s="144"/>
    </row>
    <row r="54" spans="1:9" ht="12.75">
      <c r="A54" s="1127" t="str">
        <f>CONCATENATE('Заявка стр. 1'!A19)</f>
        <v>Короткевич Олег Иосифович</v>
      </c>
      <c r="B54" s="1127"/>
      <c r="C54" s="1127"/>
      <c r="D54" s="1127"/>
      <c r="E54" s="1127"/>
      <c r="F54" s="1127"/>
      <c r="G54" s="820" t="s">
        <v>260</v>
      </c>
      <c r="H54" s="820"/>
      <c r="I54" s="820"/>
    </row>
    <row r="55" spans="1:11" ht="12.75">
      <c r="A55" s="43"/>
      <c r="B55" s="43"/>
      <c r="C55" s="313"/>
      <c r="D55" s="314"/>
      <c r="E55" s="1253" t="s">
        <v>991</v>
      </c>
      <c r="F55" s="1253"/>
      <c r="G55" s="314"/>
      <c r="H55" s="314"/>
      <c r="I55" s="314"/>
      <c r="J55" s="144"/>
      <c r="K55" s="144"/>
    </row>
    <row r="56" spans="1:9" ht="12.75">
      <c r="A56" s="49"/>
      <c r="B56" s="49"/>
      <c r="C56" s="49"/>
      <c r="D56" s="49"/>
      <c r="E56" s="49"/>
      <c r="F56" s="49"/>
      <c r="G56" s="49"/>
      <c r="H56" s="49"/>
      <c r="I56" s="49"/>
    </row>
    <row r="57" spans="1:9" ht="12.75">
      <c r="A57" s="49"/>
      <c r="B57" s="49"/>
      <c r="C57" s="49"/>
      <c r="D57" s="49"/>
      <c r="E57" s="49"/>
      <c r="F57" s="49"/>
      <c r="G57" s="49"/>
      <c r="H57" s="49"/>
      <c r="I57" s="49"/>
    </row>
    <row r="58" spans="1:9" ht="12.75">
      <c r="A58" s="49"/>
      <c r="B58" s="49"/>
      <c r="C58" s="49"/>
      <c r="D58" s="49"/>
      <c r="E58" s="49"/>
      <c r="F58" s="49"/>
      <c r="G58" s="49"/>
      <c r="H58" s="49"/>
      <c r="I58" s="49"/>
    </row>
    <row r="59" spans="1:9" ht="12.75">
      <c r="A59" s="49"/>
      <c r="B59" s="49"/>
      <c r="C59" s="49"/>
      <c r="D59" s="49"/>
      <c r="E59" s="49"/>
      <c r="F59" s="49"/>
      <c r="G59" s="49"/>
      <c r="H59" s="49"/>
      <c r="I59" s="49"/>
    </row>
    <row r="60" spans="1:9" ht="12.75">
      <c r="A60" s="49"/>
      <c r="B60" s="49"/>
      <c r="C60" s="49"/>
      <c r="D60" s="49"/>
      <c r="E60" s="49"/>
      <c r="F60" s="49"/>
      <c r="G60" s="49"/>
      <c r="H60" s="49"/>
      <c r="I60" s="49"/>
    </row>
    <row r="61" spans="1:9" ht="12.75">
      <c r="A61" s="49"/>
      <c r="B61" s="49"/>
      <c r="C61" s="49"/>
      <c r="D61" s="49"/>
      <c r="E61" s="49"/>
      <c r="F61" s="49"/>
      <c r="G61" s="49"/>
      <c r="H61" s="49"/>
      <c r="I61" s="49"/>
    </row>
    <row r="62" spans="1:9" ht="12.75">
      <c r="A62" s="49"/>
      <c r="B62" s="49"/>
      <c r="C62" s="49"/>
      <c r="D62" s="49"/>
      <c r="E62" s="49"/>
      <c r="F62" s="49"/>
      <c r="G62" s="49"/>
      <c r="H62" s="49"/>
      <c r="I62" s="49"/>
    </row>
    <row r="63" spans="1:9" ht="12.75">
      <c r="A63" s="49"/>
      <c r="B63" s="49"/>
      <c r="C63" s="49"/>
      <c r="D63" s="49"/>
      <c r="E63" s="49"/>
      <c r="F63" s="49"/>
      <c r="G63" s="49"/>
      <c r="H63" s="49"/>
      <c r="I63" s="49"/>
    </row>
    <row r="64" spans="1:9" ht="12.75">
      <c r="A64" s="49"/>
      <c r="B64" s="49"/>
      <c r="C64" s="49"/>
      <c r="D64" s="49"/>
      <c r="E64" s="49"/>
      <c r="F64" s="49"/>
      <c r="G64" s="49"/>
      <c r="H64" s="49"/>
      <c r="I64" s="49"/>
    </row>
    <row r="65" spans="1:9" ht="12.75">
      <c r="A65" s="49"/>
      <c r="B65" s="49"/>
      <c r="C65" s="49"/>
      <c r="D65" s="49"/>
      <c r="E65" s="49"/>
      <c r="F65" s="49"/>
      <c r="G65" s="49"/>
      <c r="H65" s="49"/>
      <c r="I65" s="49"/>
    </row>
    <row r="66" spans="1:9" ht="12.75">
      <c r="A66" s="49"/>
      <c r="B66" s="49"/>
      <c r="C66" s="49"/>
      <c r="D66" s="49"/>
      <c r="E66" s="49"/>
      <c r="F66" s="49"/>
      <c r="G66" s="49"/>
      <c r="H66" s="49"/>
      <c r="I66" s="49"/>
    </row>
    <row r="67" spans="1:9" ht="12.75">
      <c r="A67" s="49"/>
      <c r="B67" s="49"/>
      <c r="C67" s="49"/>
      <c r="D67" s="49"/>
      <c r="E67" s="49"/>
      <c r="F67" s="49"/>
      <c r="G67" s="49"/>
      <c r="H67" s="49"/>
      <c r="I67" s="49"/>
    </row>
    <row r="68" spans="19:25" s="49" customFormat="1" ht="12.75">
      <c r="S68"/>
      <c r="T68"/>
      <c r="U68"/>
      <c r="V68"/>
      <c r="W68"/>
      <c r="X68"/>
      <c r="Y68"/>
    </row>
    <row r="69" spans="19:25" s="49" customFormat="1" ht="12.75">
      <c r="S69"/>
      <c r="T69"/>
      <c r="U69"/>
      <c r="V69"/>
      <c r="W69"/>
      <c r="X69"/>
      <c r="Y69"/>
    </row>
    <row r="70" spans="19:25" s="49" customFormat="1" ht="12.75">
      <c r="S70"/>
      <c r="T70"/>
      <c r="U70"/>
      <c r="V70"/>
      <c r="W70"/>
      <c r="X70"/>
      <c r="Y70"/>
    </row>
    <row r="71" spans="19:25" s="49" customFormat="1" ht="12.75">
      <c r="S71"/>
      <c r="T71"/>
      <c r="U71"/>
      <c r="V71"/>
      <c r="W71"/>
      <c r="X71"/>
      <c r="Y71"/>
    </row>
    <row r="72" spans="19:25" s="49" customFormat="1" ht="12.75">
      <c r="S72"/>
      <c r="T72"/>
      <c r="U72"/>
      <c r="V72"/>
      <c r="W72"/>
      <c r="X72"/>
      <c r="Y72"/>
    </row>
    <row r="73" spans="19:25" s="49" customFormat="1" ht="12.75">
      <c r="S73"/>
      <c r="T73"/>
      <c r="U73"/>
      <c r="V73"/>
      <c r="W73"/>
      <c r="X73"/>
      <c r="Y73"/>
    </row>
    <row r="74" spans="19:25" s="49" customFormat="1" ht="12.75">
      <c r="S74"/>
      <c r="T74"/>
      <c r="U74"/>
      <c r="V74"/>
      <c r="W74"/>
      <c r="X74"/>
      <c r="Y74"/>
    </row>
    <row r="75" spans="19:25" s="49" customFormat="1" ht="12.75">
      <c r="S75"/>
      <c r="T75"/>
      <c r="U75"/>
      <c r="V75"/>
      <c r="W75"/>
      <c r="X75"/>
      <c r="Y75"/>
    </row>
    <row r="76" spans="19:25" s="49" customFormat="1" ht="12.75">
      <c r="S76"/>
      <c r="T76"/>
      <c r="U76"/>
      <c r="V76"/>
      <c r="W76"/>
      <c r="X76"/>
      <c r="Y76"/>
    </row>
    <row r="77" spans="19:25" s="49" customFormat="1" ht="12.75">
      <c r="S77"/>
      <c r="T77"/>
      <c r="U77"/>
      <c r="V77"/>
      <c r="W77"/>
      <c r="X77"/>
      <c r="Y77"/>
    </row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</sheetData>
  <sheetProtection password="CC03" sheet="1" objects="1" scenarios="1" selectLockedCells="1"/>
  <mergeCells count="72">
    <mergeCell ref="H47:I47"/>
    <mergeCell ref="H48:I48"/>
    <mergeCell ref="H46:I46"/>
    <mergeCell ref="B45:D45"/>
    <mergeCell ref="B46:D46"/>
    <mergeCell ref="H41:I41"/>
    <mergeCell ref="H42:I42"/>
    <mergeCell ref="H43:I43"/>
    <mergeCell ref="H44:I44"/>
    <mergeCell ref="B44:D44"/>
    <mergeCell ref="B41:D41"/>
    <mergeCell ref="B42:D42"/>
    <mergeCell ref="B43:D43"/>
    <mergeCell ref="E55:F55"/>
    <mergeCell ref="A52:I52"/>
    <mergeCell ref="A53:G53"/>
    <mergeCell ref="G54:I54"/>
    <mergeCell ref="A54:F54"/>
    <mergeCell ref="H45:I45"/>
    <mergeCell ref="A51:B51"/>
    <mergeCell ref="H36:I36"/>
    <mergeCell ref="H37:I37"/>
    <mergeCell ref="H32:I32"/>
    <mergeCell ref="B47:D47"/>
    <mergeCell ref="B48:D48"/>
    <mergeCell ref="H49:I49"/>
    <mergeCell ref="B49:D49"/>
    <mergeCell ref="H38:I38"/>
    <mergeCell ref="H39:I39"/>
    <mergeCell ref="H40:I40"/>
    <mergeCell ref="A23:I23"/>
    <mergeCell ref="B32:D32"/>
    <mergeCell ref="A27:I27"/>
    <mergeCell ref="H33:I33"/>
    <mergeCell ref="H34:I34"/>
    <mergeCell ref="H35:I35"/>
    <mergeCell ref="F5:G7"/>
    <mergeCell ref="F9:G9"/>
    <mergeCell ref="F11:G11"/>
    <mergeCell ref="A1:C1"/>
    <mergeCell ref="H31:I31"/>
    <mergeCell ref="B31:D31"/>
    <mergeCell ref="A19:I19"/>
    <mergeCell ref="B11:D11"/>
    <mergeCell ref="G1:I2"/>
    <mergeCell ref="A7:D7"/>
    <mergeCell ref="M3:N3"/>
    <mergeCell ref="B30:D30"/>
    <mergeCell ref="D3:E3"/>
    <mergeCell ref="A5:D5"/>
    <mergeCell ref="H30:I30"/>
    <mergeCell ref="F1:F3"/>
    <mergeCell ref="A2:C2"/>
    <mergeCell ref="A3:B3"/>
    <mergeCell ref="D2:E2"/>
    <mergeCell ref="A28:I28"/>
    <mergeCell ref="B40:D40"/>
    <mergeCell ref="B33:D33"/>
    <mergeCell ref="B34:D34"/>
    <mergeCell ref="B35:D35"/>
    <mergeCell ref="B36:D36"/>
    <mergeCell ref="B37:D37"/>
    <mergeCell ref="B38:D38"/>
    <mergeCell ref="B39:D39"/>
    <mergeCell ref="A13:I13"/>
    <mergeCell ref="A14:G14"/>
    <mergeCell ref="A20:G20"/>
    <mergeCell ref="B9:D9"/>
    <mergeCell ref="A16:I16"/>
    <mergeCell ref="A17:I17"/>
    <mergeCell ref="A25:G25"/>
    <mergeCell ref="A22:I22"/>
  </mergeCells>
  <conditionalFormatting sqref="K51">
    <cfRule type="expression" priority="1" dxfId="67" stopIfTrue="1">
      <formula>OR(#REF!&gt;0,$J$50&gt;0,$K$43&gt;0,$K$34&gt;0,#REF!&gt;0,#REF!&gt;0)</formula>
    </cfRule>
    <cfRule type="expression" priority="2" dxfId="65" stopIfTrue="1">
      <formula>AND(#REF!&lt;9,#REF!&lt;9)</formula>
    </cfRule>
  </conditionalFormatting>
  <conditionalFormatting sqref="I5 I11 I7">
    <cfRule type="cellIs" priority="3" dxfId="65" operator="equal" stopIfTrue="1">
      <formula>0</formula>
    </cfRule>
  </conditionalFormatting>
  <conditionalFormatting sqref="A22:I22">
    <cfRule type="expression" priority="4" dxfId="65" stopIfTrue="1">
      <formula>$I$20=0</formula>
    </cfRule>
  </conditionalFormatting>
  <conditionalFormatting sqref="A27:I27">
    <cfRule type="expression" priority="5" dxfId="65" stopIfTrue="1">
      <formula>$I$25=0</formula>
    </cfRule>
  </conditionalFormatting>
  <hyperlinks>
    <hyperlink ref="B11" r:id="rId1" display="leonid@b95.ru"/>
  </hyperlink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64"/>
  <sheetViews>
    <sheetView zoomScalePageLayoutView="0" workbookViewId="0" topLeftCell="A1">
      <selection activeCell="A18" sqref="A18:J18"/>
    </sheetView>
  </sheetViews>
  <sheetFormatPr defaultColWidth="9.00390625" defaultRowHeight="12.75"/>
  <cols>
    <col min="1" max="1" width="11.25390625" style="0" customWidth="1"/>
    <col min="2" max="2" width="7.625" style="0" customWidth="1"/>
    <col min="3" max="3" width="10.75390625" style="0" customWidth="1"/>
    <col min="4" max="4" width="6.375" style="0" customWidth="1"/>
    <col min="5" max="5" width="12.25390625" style="0" customWidth="1"/>
    <col min="6" max="6" width="1.00390625" style="0" customWidth="1"/>
    <col min="7" max="7" width="14.00390625" style="0" customWidth="1"/>
    <col min="8" max="8" width="15.625" style="0" customWidth="1"/>
    <col min="9" max="9" width="10.625" style="0" customWidth="1"/>
    <col min="10" max="10" width="11.125" style="0" customWidth="1"/>
    <col min="11" max="11" width="12.625" style="49" customWidth="1"/>
    <col min="12" max="18" width="9.125" style="49" customWidth="1"/>
  </cols>
  <sheetData>
    <row r="1" spans="1:11" ht="25.5" customHeight="1">
      <c r="A1" s="1034" t="s">
        <v>756</v>
      </c>
      <c r="B1" s="1034"/>
      <c r="C1" s="115"/>
      <c r="D1" s="115"/>
      <c r="E1" s="117"/>
      <c r="F1" s="117"/>
      <c r="G1" s="1313" t="s">
        <v>758</v>
      </c>
      <c r="H1" s="1335" t="s">
        <v>757</v>
      </c>
      <c r="I1" s="1335"/>
      <c r="J1" s="1335"/>
      <c r="K1" s="110"/>
    </row>
    <row r="2" spans="1:11" ht="19.5" customHeight="1">
      <c r="A2" s="1316" t="s">
        <v>1067</v>
      </c>
      <c r="B2" s="1316"/>
      <c r="C2" s="1307" t="str">
        <f>'содержание '!C79</f>
        <v>ArmHiTec-2016</v>
      </c>
      <c r="D2" s="1307"/>
      <c r="E2" s="1307"/>
      <c r="F2" s="289"/>
      <c r="G2" s="1313"/>
      <c r="H2" s="1091"/>
      <c r="I2" s="1091"/>
      <c r="J2" s="1091"/>
      <c r="K2" s="99"/>
    </row>
    <row r="3" spans="1:10" ht="19.5" customHeight="1">
      <c r="A3" s="420" t="s">
        <v>1068</v>
      </c>
      <c r="B3" s="202" t="str">
        <f>CONCATENATE('содержание '!C104)</f>
        <v>/AHT</v>
      </c>
      <c r="C3" s="1337" t="s">
        <v>748</v>
      </c>
      <c r="D3" s="1337"/>
      <c r="E3" s="1337"/>
      <c r="F3" s="325"/>
      <c r="G3" s="1336"/>
      <c r="H3" s="208" t="s">
        <v>122</v>
      </c>
      <c r="I3" s="208"/>
      <c r="J3" s="357" t="str">
        <f>'содержание '!C93</f>
        <v>1 сентября 2016 года</v>
      </c>
    </row>
    <row r="4" spans="1:25" s="1" customFormat="1" ht="3.75" customHeight="1">
      <c r="A4" s="31"/>
      <c r="B4" s="34"/>
      <c r="C4" s="152"/>
      <c r="D4" s="152"/>
      <c r="E4" s="152"/>
      <c r="F4" s="152"/>
      <c r="G4" s="152"/>
      <c r="H4" s="177"/>
      <c r="I4" s="177"/>
      <c r="J4" s="177"/>
      <c r="K4" s="149"/>
      <c r="L4" s="149"/>
      <c r="M4" s="149"/>
      <c r="N4" s="149"/>
      <c r="O4" s="52"/>
      <c r="P4" s="52"/>
      <c r="Q4" s="7"/>
      <c r="R4" s="22"/>
      <c r="S4" s="22"/>
      <c r="T4" s="22"/>
      <c r="U4" s="7"/>
      <c r="V4" s="7"/>
      <c r="W4" s="7"/>
      <c r="X4" s="7"/>
      <c r="Y4" s="7"/>
    </row>
    <row r="5" spans="1:25" s="1" customFormat="1" ht="12" customHeight="1">
      <c r="A5" s="494" t="s">
        <v>865</v>
      </c>
      <c r="B5" s="1112">
        <f>CONCATENATE('Заявка стр. 2'!B10)</f>
      </c>
      <c r="C5" s="1112"/>
      <c r="D5" s="493"/>
      <c r="E5" s="155" t="s">
        <v>564</v>
      </c>
      <c r="F5" s="155"/>
      <c r="G5" s="728" t="str">
        <f>CONCATENATE('Заявка стр. 1'!B4)</f>
        <v>АО "Научно-производственный центр "Вигстар"</v>
      </c>
      <c r="H5" s="728"/>
      <c r="I5" s="153" t="s">
        <v>272</v>
      </c>
      <c r="J5" s="291">
        <f>'Заявка стр. 2'!L8</f>
        <v>0</v>
      </c>
      <c r="L5" s="188"/>
      <c r="M5" s="7"/>
      <c r="N5" s="7"/>
      <c r="O5" s="7"/>
      <c r="P5" s="7"/>
      <c r="Q5" s="161"/>
      <c r="R5" s="7"/>
      <c r="S5" s="7"/>
      <c r="T5" s="7"/>
      <c r="U5" s="7"/>
      <c r="V5" s="7"/>
      <c r="W5" s="7"/>
      <c r="X5" s="7"/>
      <c r="Y5" s="7"/>
    </row>
    <row r="6" spans="1:17" s="7" customFormat="1" ht="2.25" customHeight="1">
      <c r="A6" s="193"/>
      <c r="B6" s="194"/>
      <c r="C6" s="165"/>
      <c r="D6" s="165"/>
      <c r="E6" s="155"/>
      <c r="F6" s="155"/>
      <c r="G6" s="728"/>
      <c r="H6" s="728"/>
      <c r="I6" s="161"/>
      <c r="J6" s="157"/>
      <c r="L6" s="188"/>
      <c r="Q6" s="161"/>
    </row>
    <row r="7" spans="1:25" s="1" customFormat="1" ht="12" customHeight="1">
      <c r="A7" s="1112" t="s">
        <v>186</v>
      </c>
      <c r="B7" s="1112"/>
      <c r="C7" s="1112"/>
      <c r="D7" s="1112"/>
      <c r="E7" s="174"/>
      <c r="F7" s="174"/>
      <c r="G7" s="818"/>
      <c r="H7" s="818"/>
      <c r="I7" s="153" t="s">
        <v>713</v>
      </c>
      <c r="J7" s="291">
        <f>'Заявка стр. 2'!L10</f>
        <v>0</v>
      </c>
      <c r="L7" s="188"/>
      <c r="M7" s="7"/>
      <c r="N7" s="7"/>
      <c r="O7" s="7"/>
      <c r="P7" s="7"/>
      <c r="Q7" s="161"/>
      <c r="R7" s="7"/>
      <c r="S7" s="7"/>
      <c r="T7" s="7"/>
      <c r="U7" s="7"/>
      <c r="V7" s="7"/>
      <c r="W7" s="7"/>
      <c r="X7" s="7"/>
      <c r="Y7" s="7"/>
    </row>
    <row r="8" spans="1:17" s="7" customFormat="1" ht="2.25" customHeight="1">
      <c r="A8" s="166"/>
      <c r="B8" s="164"/>
      <c r="C8" s="167"/>
      <c r="D8" s="167"/>
      <c r="E8" s="324"/>
      <c r="F8" s="157"/>
      <c r="I8" s="154"/>
      <c r="J8" s="180"/>
      <c r="L8" s="181"/>
      <c r="Q8" s="161"/>
    </row>
    <row r="9" spans="1:25" s="1" customFormat="1" ht="12" customHeight="1">
      <c r="A9" s="170" t="s">
        <v>982</v>
      </c>
      <c r="B9" s="1140" t="str">
        <f>'Заявка стр. 2'!C12</f>
        <v> +7 (495) 937-40-81, доб.</v>
      </c>
      <c r="C9" s="1140"/>
      <c r="D9" s="168">
        <f>'Заявка стр. 2'!E12</f>
        <v>0</v>
      </c>
      <c r="E9" s="155" t="s">
        <v>977</v>
      </c>
      <c r="F9" s="155"/>
      <c r="G9" s="871" t="str">
        <f>CONCATENATE('Заявка стр. 1'!A25)</f>
        <v>Симонова Наталья Владимировна</v>
      </c>
      <c r="H9" s="871"/>
      <c r="I9" s="153" t="s">
        <v>979</v>
      </c>
      <c r="J9" s="291">
        <f>'Заявка стр. 2'!L12</f>
        <v>0</v>
      </c>
      <c r="L9" s="70"/>
      <c r="M9" s="7"/>
      <c r="N9" s="7"/>
      <c r="O9" s="7"/>
      <c r="P9" s="7"/>
      <c r="Q9" s="161"/>
      <c r="R9" s="7"/>
      <c r="S9" s="7"/>
      <c r="T9" s="7"/>
      <c r="U9" s="7"/>
      <c r="V9" s="7"/>
      <c r="W9" s="7"/>
      <c r="X9" s="7"/>
      <c r="Y9" s="7"/>
    </row>
    <row r="10" spans="1:17" s="7" customFormat="1" ht="2.25" customHeight="1">
      <c r="A10" s="166"/>
      <c r="B10" s="164"/>
      <c r="C10" s="164"/>
      <c r="D10" s="164"/>
      <c r="E10" s="160"/>
      <c r="F10" s="160"/>
      <c r="I10" s="154"/>
      <c r="J10" s="180"/>
      <c r="L10" s="182"/>
      <c r="Q10" s="161"/>
    </row>
    <row r="11" spans="1:25" s="1" customFormat="1" ht="12" customHeight="1">
      <c r="A11" s="170" t="s">
        <v>595</v>
      </c>
      <c r="B11" s="1140">
        <f>'Заявка стр. 2'!C14</f>
        <v>0</v>
      </c>
      <c r="C11" s="721"/>
      <c r="D11" s="721"/>
      <c r="E11" s="173" t="s">
        <v>978</v>
      </c>
      <c r="F11" s="173"/>
      <c r="G11" s="871" t="str">
        <f>CONCATENATE('Заявка стр. 1'!B27)</f>
        <v>(495) 276-52-71</v>
      </c>
      <c r="H11" s="871"/>
      <c r="I11" s="153"/>
      <c r="J11" s="180"/>
      <c r="L11" s="70"/>
      <c r="M11" s="7"/>
      <c r="O11" s="7"/>
      <c r="P11" s="7"/>
      <c r="Q11" s="161"/>
      <c r="R11" s="7"/>
      <c r="S11" s="7"/>
      <c r="T11" s="7"/>
      <c r="U11" s="7"/>
      <c r="V11" s="7"/>
      <c r="W11" s="7"/>
      <c r="X11" s="7"/>
      <c r="Y11" s="7"/>
    </row>
    <row r="12" spans="1:25" s="1" customFormat="1" ht="4.5" customHeight="1">
      <c r="A12" s="203"/>
      <c r="B12" s="204"/>
      <c r="C12" s="204"/>
      <c r="D12" s="204"/>
      <c r="E12" s="203"/>
      <c r="F12" s="203"/>
      <c r="G12" s="205"/>
      <c r="H12" s="202"/>
      <c r="I12" s="202"/>
      <c r="J12" s="202"/>
      <c r="K12" s="70"/>
      <c r="L12" s="7"/>
      <c r="M12" s="70"/>
      <c r="N12" s="182"/>
      <c r="O12" s="153"/>
      <c r="P12" s="180"/>
      <c r="Q12" s="161"/>
      <c r="R12" s="22"/>
      <c r="S12" s="22"/>
      <c r="T12" s="70"/>
      <c r="U12" s="7"/>
      <c r="V12" s="7"/>
      <c r="W12" s="7"/>
      <c r="X12" s="7"/>
      <c r="Y12" s="7"/>
    </row>
    <row r="13" spans="1:18" s="24" customFormat="1" ht="9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10" ht="16.5">
      <c r="A14" s="1339" t="s">
        <v>759</v>
      </c>
      <c r="B14" s="1339"/>
      <c r="C14" s="1340"/>
      <c r="D14" s="1340"/>
      <c r="E14" s="1340"/>
      <c r="F14" s="1340"/>
      <c r="G14" s="1340"/>
      <c r="H14" s="1340"/>
      <c r="I14" s="1340"/>
      <c r="J14" s="1340"/>
    </row>
    <row r="15" spans="1:18" s="23" customFormat="1" ht="9.75" customHeight="1">
      <c r="A15" s="33"/>
      <c r="B15" s="1338" t="s">
        <v>674</v>
      </c>
      <c r="C15" s="1338"/>
      <c r="D15" s="1338"/>
      <c r="E15" s="1338"/>
      <c r="F15" s="1338"/>
      <c r="G15" s="1338"/>
      <c r="H15" s="1338"/>
      <c r="I15" s="1338"/>
      <c r="J15" s="1338"/>
      <c r="K15" s="39"/>
      <c r="L15" s="39"/>
      <c r="M15" s="39"/>
      <c r="N15" s="39"/>
      <c r="O15" s="39"/>
      <c r="P15" s="39"/>
      <c r="Q15" s="39"/>
      <c r="R15" s="39"/>
    </row>
    <row r="16" spans="1:18" s="23" customFormat="1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39"/>
      <c r="L16" s="39"/>
      <c r="M16" s="39"/>
      <c r="N16" s="39"/>
      <c r="O16" s="39"/>
      <c r="P16" s="39"/>
      <c r="Q16" s="39"/>
      <c r="R16" s="39"/>
    </row>
    <row r="17" spans="1:18" s="23" customFormat="1" ht="14.25" customHeight="1">
      <c r="A17" s="1324" t="s">
        <v>953</v>
      </c>
      <c r="B17" s="1324"/>
      <c r="C17" s="1325"/>
      <c r="D17" s="1325"/>
      <c r="E17" s="1325"/>
      <c r="F17" s="1325"/>
      <c r="G17" s="27" t="s">
        <v>954</v>
      </c>
      <c r="H17" s="1334"/>
      <c r="I17" s="1334"/>
      <c r="J17" s="1334"/>
      <c r="K17" s="39"/>
      <c r="L17" s="39"/>
      <c r="M17" s="39"/>
      <c r="N17" s="39"/>
      <c r="O17" s="39"/>
      <c r="P17" s="39"/>
      <c r="Q17" s="39"/>
      <c r="R17" s="39"/>
    </row>
    <row r="18" spans="1:18" s="23" customFormat="1" ht="16.5" customHeight="1">
      <c r="A18" s="1332"/>
      <c r="B18" s="1332"/>
      <c r="C18" s="1332"/>
      <c r="D18" s="1332"/>
      <c r="E18" s="1332"/>
      <c r="F18" s="1332"/>
      <c r="G18" s="1332"/>
      <c r="H18" s="1332"/>
      <c r="I18" s="1332"/>
      <c r="J18" s="1332"/>
      <c r="K18" s="39"/>
      <c r="L18" s="39"/>
      <c r="M18" s="39"/>
      <c r="N18" s="39"/>
      <c r="O18" s="39"/>
      <c r="P18" s="39"/>
      <c r="Q18" s="39"/>
      <c r="R18" s="39"/>
    </row>
    <row r="19" spans="1:18" s="23" customFormat="1" ht="16.5">
      <c r="A19" s="1333" t="s">
        <v>387</v>
      </c>
      <c r="B19" s="1333"/>
      <c r="C19" s="1331"/>
      <c r="D19" s="1331"/>
      <c r="E19" s="1331"/>
      <c r="F19" s="1331"/>
      <c r="G19" s="1331"/>
      <c r="H19" s="1331"/>
      <c r="I19" s="1331"/>
      <c r="J19" s="1331"/>
      <c r="K19" s="39"/>
      <c r="L19" s="39"/>
      <c r="M19" s="39"/>
      <c r="N19" s="39"/>
      <c r="O19" s="39"/>
      <c r="P19" s="39"/>
      <c r="Q19" s="39"/>
      <c r="R19" s="39"/>
    </row>
    <row r="20" spans="1:18" s="23" customFormat="1" ht="16.5">
      <c r="A20" s="1324" t="s">
        <v>388</v>
      </c>
      <c r="B20" s="1324"/>
      <c r="C20" s="772"/>
      <c r="D20" s="772"/>
      <c r="E20" s="772"/>
      <c r="F20" s="772"/>
      <c r="G20" s="27" t="s">
        <v>389</v>
      </c>
      <c r="H20" s="1334"/>
      <c r="I20" s="1334"/>
      <c r="J20" s="1334"/>
      <c r="K20" s="39"/>
      <c r="L20" s="39" t="s">
        <v>952</v>
      </c>
      <c r="M20" s="39"/>
      <c r="N20" s="39"/>
      <c r="O20" s="39"/>
      <c r="P20" s="39"/>
      <c r="Q20" s="39"/>
      <c r="R20" s="39"/>
    </row>
    <row r="21" spans="1:18" s="23" customFormat="1" ht="16.5">
      <c r="A21" s="1324" t="s">
        <v>432</v>
      </c>
      <c r="B21" s="1324"/>
      <c r="C21" s="1325"/>
      <c r="D21" s="1325"/>
      <c r="E21" s="1325"/>
      <c r="F21" s="1325"/>
      <c r="G21" s="27" t="s">
        <v>433</v>
      </c>
      <c r="H21" s="1334"/>
      <c r="I21" s="1334"/>
      <c r="J21" s="1334"/>
      <c r="K21" s="39"/>
      <c r="L21" s="39"/>
      <c r="M21" s="39"/>
      <c r="N21" s="39"/>
      <c r="O21" s="39"/>
      <c r="P21" s="39"/>
      <c r="Q21" s="39"/>
      <c r="R21" s="39"/>
    </row>
    <row r="22" spans="1:18" s="23" customFormat="1" ht="16.5">
      <c r="A22" s="1324" t="s">
        <v>434</v>
      </c>
      <c r="B22" s="1324"/>
      <c r="C22" s="770"/>
      <c r="D22" s="770"/>
      <c r="E22" s="770"/>
      <c r="F22" s="770"/>
      <c r="G22" s="770"/>
      <c r="H22" s="770"/>
      <c r="I22" s="770"/>
      <c r="J22" s="770"/>
      <c r="K22" s="39"/>
      <c r="L22" s="39"/>
      <c r="M22" s="39"/>
      <c r="N22" s="39"/>
      <c r="O22" s="39"/>
      <c r="P22" s="39"/>
      <c r="Q22" s="39"/>
      <c r="R22" s="39"/>
    </row>
    <row r="23" spans="1:18" s="23" customFormat="1" ht="16.5">
      <c r="A23" s="1324" t="s">
        <v>390</v>
      </c>
      <c r="B23" s="1324"/>
      <c r="C23" s="1325"/>
      <c r="D23" s="1325"/>
      <c r="E23" s="1325"/>
      <c r="F23" s="1325"/>
      <c r="G23" s="27" t="s">
        <v>391</v>
      </c>
      <c r="H23" s="1334"/>
      <c r="I23" s="1334"/>
      <c r="J23" s="1334"/>
      <c r="K23" s="39"/>
      <c r="L23" s="39"/>
      <c r="M23" s="39"/>
      <c r="N23" s="39"/>
      <c r="O23" s="39"/>
      <c r="P23" s="39"/>
      <c r="Q23" s="39"/>
      <c r="R23" s="39"/>
    </row>
    <row r="24" spans="1:18" s="23" customFormat="1" ht="16.5">
      <c r="A24" s="1341" t="s">
        <v>563</v>
      </c>
      <c r="B24" s="1341"/>
      <c r="C24" s="768"/>
      <c r="D24" s="768"/>
      <c r="E24" s="768"/>
      <c r="F24" s="768"/>
      <c r="G24" s="27" t="s">
        <v>435</v>
      </c>
      <c r="H24" s="1331"/>
      <c r="I24" s="1331"/>
      <c r="J24" s="1331"/>
      <c r="K24" s="39"/>
      <c r="L24" s="39"/>
      <c r="M24" s="39"/>
      <c r="N24" s="39"/>
      <c r="O24" s="39"/>
      <c r="P24" s="39"/>
      <c r="Q24" s="39"/>
      <c r="R24" s="39"/>
    </row>
    <row r="25" spans="1:18" s="23" customFormat="1" ht="16.5">
      <c r="A25" s="120" t="s">
        <v>392</v>
      </c>
      <c r="B25" s="120"/>
      <c r="C25" s="120"/>
      <c r="D25" s="130"/>
      <c r="E25" s="770"/>
      <c r="F25" s="770"/>
      <c r="G25" s="770"/>
      <c r="H25" s="770"/>
      <c r="I25" s="770"/>
      <c r="J25" s="770"/>
      <c r="K25" s="39"/>
      <c r="L25" s="39"/>
      <c r="M25" s="39"/>
      <c r="N25" s="39"/>
      <c r="O25" s="39"/>
      <c r="P25" s="39"/>
      <c r="Q25" s="39"/>
      <c r="R25" s="39"/>
    </row>
    <row r="26" spans="1:10" s="39" customFormat="1" ht="11.25" customHeight="1">
      <c r="A26" s="50"/>
      <c r="B26" s="118"/>
      <c r="C26" s="118"/>
      <c r="D26" s="118"/>
      <c r="E26" s="119"/>
      <c r="F26" s="119"/>
      <c r="G26" s="1323" t="s">
        <v>393</v>
      </c>
      <c r="H26" s="1323"/>
      <c r="I26" s="1323"/>
      <c r="J26" s="1323"/>
    </row>
    <row r="27" spans="1:18" s="23" customFormat="1" ht="16.5" customHeight="1">
      <c r="A27" s="1332"/>
      <c r="B27" s="1332"/>
      <c r="C27" s="1332"/>
      <c r="D27" s="1332"/>
      <c r="E27" s="1332"/>
      <c r="F27" s="1332"/>
      <c r="G27" s="1332"/>
      <c r="H27" s="1332"/>
      <c r="I27" s="1332"/>
      <c r="J27" s="1332"/>
      <c r="K27" s="39"/>
      <c r="L27" s="39"/>
      <c r="M27" s="39"/>
      <c r="N27" s="39"/>
      <c r="O27" s="39"/>
      <c r="P27" s="39"/>
      <c r="Q27" s="39"/>
      <c r="R27" s="39"/>
    </row>
    <row r="28" spans="1:10" s="39" customFormat="1" ht="16.5">
      <c r="A28" s="50"/>
      <c r="B28" s="131"/>
      <c r="C28" s="131"/>
      <c r="D28" s="131"/>
      <c r="E28" s="132"/>
      <c r="F28" s="132"/>
      <c r="G28" s="133" t="s">
        <v>394</v>
      </c>
      <c r="H28" s="131"/>
      <c r="I28" s="131"/>
      <c r="J28" s="50"/>
    </row>
    <row r="29" spans="1:18" s="23" customFormat="1" ht="16.5">
      <c r="A29" s="1324" t="s">
        <v>395</v>
      </c>
      <c r="B29" s="1324"/>
      <c r="C29" s="1325"/>
      <c r="D29" s="1325"/>
      <c r="E29" s="1325"/>
      <c r="F29" s="1325"/>
      <c r="G29" s="134" t="s">
        <v>396</v>
      </c>
      <c r="H29" s="1325"/>
      <c r="I29" s="1325"/>
      <c r="J29" s="1325"/>
      <c r="K29" s="39"/>
      <c r="L29" s="39"/>
      <c r="M29" s="39"/>
      <c r="N29" s="39"/>
      <c r="O29" s="39"/>
      <c r="P29" s="39"/>
      <c r="Q29" s="39"/>
      <c r="R29" s="39"/>
    </row>
    <row r="30" spans="1:18" s="23" customFormat="1" ht="16.5">
      <c r="A30" s="1324" t="s">
        <v>397</v>
      </c>
      <c r="B30" s="1324"/>
      <c r="C30" s="1325"/>
      <c r="D30" s="1325"/>
      <c r="E30" s="1325"/>
      <c r="F30" s="1325"/>
      <c r="G30" s="28" t="s">
        <v>398</v>
      </c>
      <c r="H30" s="1331"/>
      <c r="I30" s="1331"/>
      <c r="J30" s="1331"/>
      <c r="K30" s="39"/>
      <c r="L30" s="39"/>
      <c r="M30" s="39"/>
      <c r="N30" s="39"/>
      <c r="O30" s="39"/>
      <c r="P30" s="39"/>
      <c r="Q30" s="39"/>
      <c r="R30" s="39"/>
    </row>
    <row r="31" spans="1:18" s="23" customFormat="1" ht="16.5">
      <c r="A31" s="1324" t="s">
        <v>399</v>
      </c>
      <c r="B31" s="1324"/>
      <c r="C31" s="1324"/>
      <c r="D31" s="1324"/>
      <c r="E31" s="1324"/>
      <c r="F31" s="356"/>
      <c r="G31" s="770"/>
      <c r="H31" s="770"/>
      <c r="I31" s="770"/>
      <c r="J31" s="770"/>
      <c r="K31" s="39"/>
      <c r="L31" s="39"/>
      <c r="M31" s="39"/>
      <c r="N31" s="39"/>
      <c r="O31" s="39"/>
      <c r="P31" s="39"/>
      <c r="Q31" s="39"/>
      <c r="R31" s="39"/>
    </row>
    <row r="32" spans="1:10" s="39" customFormat="1" ht="11.25" customHeight="1">
      <c r="A32" s="50"/>
      <c r="B32" s="118"/>
      <c r="C32" s="118"/>
      <c r="D32" s="118"/>
      <c r="E32" s="119"/>
      <c r="F32" s="119"/>
      <c r="G32" s="135" t="s">
        <v>393</v>
      </c>
      <c r="H32" s="136"/>
      <c r="I32" s="136"/>
      <c r="J32" s="50"/>
    </row>
    <row r="33" spans="1:18" s="23" customFormat="1" ht="16.5" customHeight="1">
      <c r="A33" s="1332"/>
      <c r="B33" s="1332"/>
      <c r="C33" s="1332"/>
      <c r="D33" s="1332"/>
      <c r="E33" s="1332"/>
      <c r="F33" s="1332"/>
      <c r="G33" s="1332"/>
      <c r="H33" s="1332"/>
      <c r="I33" s="1332"/>
      <c r="J33" s="1332"/>
      <c r="K33" s="39"/>
      <c r="L33" s="39"/>
      <c r="M33" s="39"/>
      <c r="N33" s="39"/>
      <c r="O33" s="39"/>
      <c r="P33" s="39"/>
      <c r="Q33" s="39"/>
      <c r="R33" s="39"/>
    </row>
    <row r="34" spans="1:10" s="39" customFormat="1" ht="12" customHeight="1">
      <c r="A34" s="50"/>
      <c r="B34" s="131"/>
      <c r="C34" s="131"/>
      <c r="D34" s="131"/>
      <c r="E34" s="137"/>
      <c r="F34" s="137"/>
      <c r="G34" s="138" t="s">
        <v>394</v>
      </c>
      <c r="H34" s="131"/>
      <c r="I34" s="131"/>
      <c r="J34" s="50"/>
    </row>
    <row r="35" spans="1:18" s="23" customFormat="1" ht="16.5">
      <c r="A35" s="1342" t="s">
        <v>395</v>
      </c>
      <c r="B35" s="1342"/>
      <c r="C35" s="1325"/>
      <c r="D35" s="1325"/>
      <c r="E35" s="1325"/>
      <c r="F35" s="1325"/>
      <c r="G35" s="27" t="s">
        <v>396</v>
      </c>
      <c r="H35" s="770"/>
      <c r="I35" s="770"/>
      <c r="J35" s="770"/>
      <c r="K35" s="39"/>
      <c r="L35" s="39"/>
      <c r="M35" s="39"/>
      <c r="N35" s="39"/>
      <c r="O35" s="39"/>
      <c r="P35" s="39"/>
      <c r="Q35" s="39"/>
      <c r="R35" s="39"/>
    </row>
    <row r="36" spans="1:18" s="23" customFormat="1" ht="16.5">
      <c r="A36" s="1342" t="s">
        <v>397</v>
      </c>
      <c r="B36" s="1342"/>
      <c r="C36" s="1325"/>
      <c r="D36" s="1325"/>
      <c r="E36" s="1325"/>
      <c r="F36" s="1325"/>
      <c r="G36" s="131"/>
      <c r="H36" s="131"/>
      <c r="I36" s="131"/>
      <c r="J36" s="50"/>
      <c r="K36" s="39"/>
      <c r="L36" s="39"/>
      <c r="M36" s="39"/>
      <c r="N36" s="39"/>
      <c r="O36" s="39"/>
      <c r="P36" s="39"/>
      <c r="Q36" s="39"/>
      <c r="R36" s="39"/>
    </row>
    <row r="37" spans="1:10" s="39" customFormat="1" ht="12.75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pans="1:10" s="39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s="39" customFormat="1" ht="27.75" customHeight="1">
      <c r="A39" s="1062" t="s">
        <v>760</v>
      </c>
      <c r="B39" s="1062"/>
      <c r="C39" s="1062"/>
      <c r="D39" s="1062"/>
      <c r="E39" s="1062"/>
      <c r="F39" s="1062"/>
      <c r="G39" s="1062"/>
      <c r="H39" s="1062"/>
      <c r="I39" s="1062"/>
      <c r="J39" s="1062"/>
    </row>
    <row r="40" spans="1:10" s="39" customFormat="1" ht="8.2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pans="1:10" s="39" customFormat="1" ht="12.75">
      <c r="A41" s="1062" t="s">
        <v>761</v>
      </c>
      <c r="B41" s="1062"/>
      <c r="C41" s="1062"/>
      <c r="D41" s="1062"/>
      <c r="E41" s="1062"/>
      <c r="F41" s="1062"/>
      <c r="G41" s="1062"/>
      <c r="H41" s="1062"/>
      <c r="I41" s="1062"/>
      <c r="J41" s="1062"/>
    </row>
    <row r="42" spans="1:18" s="23" customFormat="1" ht="38.25" customHeight="1">
      <c r="A42" s="29" t="s">
        <v>762</v>
      </c>
      <c r="B42" s="1326" t="s">
        <v>897</v>
      </c>
      <c r="C42" s="1328"/>
      <c r="D42" s="1326" t="s">
        <v>763</v>
      </c>
      <c r="E42" s="1327"/>
      <c r="F42" s="1328"/>
      <c r="G42" s="29" t="s">
        <v>764</v>
      </c>
      <c r="H42" s="29" t="s">
        <v>436</v>
      </c>
      <c r="I42" s="1329" t="s">
        <v>765</v>
      </c>
      <c r="J42" s="1330"/>
      <c r="K42" s="39"/>
      <c r="L42" s="39"/>
      <c r="M42" s="39"/>
      <c r="N42" s="39"/>
      <c r="O42" s="39"/>
      <c r="P42" s="39"/>
      <c r="Q42" s="39"/>
      <c r="R42" s="39"/>
    </row>
    <row r="43" spans="1:18" s="23" customFormat="1" ht="26.25" customHeight="1">
      <c r="A43" s="421"/>
      <c r="B43" s="1264"/>
      <c r="C43" s="1265"/>
      <c r="D43" s="1264"/>
      <c r="E43" s="1268"/>
      <c r="F43" s="1265"/>
      <c r="G43" s="421"/>
      <c r="H43" s="421"/>
      <c r="I43" s="1264"/>
      <c r="J43" s="1265"/>
      <c r="K43" s="39"/>
      <c r="L43" s="39"/>
      <c r="M43" s="39"/>
      <c r="N43" s="39"/>
      <c r="O43" s="39"/>
      <c r="P43" s="39"/>
      <c r="Q43" s="39"/>
      <c r="R43" s="39"/>
    </row>
    <row r="44" spans="1:10" s="39" customFormat="1" ht="12.75">
      <c r="A44" s="50"/>
      <c r="B44" s="50"/>
      <c r="C44" s="50"/>
      <c r="D44" s="50"/>
      <c r="E44" s="50"/>
      <c r="F44" s="50"/>
      <c r="G44" s="50"/>
      <c r="H44" s="50"/>
      <c r="I44" s="50"/>
      <c r="J44" s="50"/>
    </row>
    <row r="45" spans="1:11" s="49" customFormat="1" ht="12.75">
      <c r="A45" s="708" t="s">
        <v>564</v>
      </c>
      <c r="B45" s="708"/>
      <c r="C45" s="1"/>
      <c r="D45" s="7"/>
      <c r="E45" s="224"/>
      <c r="F45" s="224"/>
      <c r="G45" s="224"/>
      <c r="H45" s="224"/>
      <c r="I45" s="224"/>
      <c r="J45" s="224"/>
      <c r="K45" s="353"/>
    </row>
    <row r="46" spans="1:11" s="49" customFormat="1" ht="15.75" customHeight="1">
      <c r="A46" s="1014" t="str">
        <f>CONCATENATE('Заявка стр. 1'!B4)</f>
        <v>АО "Научно-производственный центр "Вигстар"</v>
      </c>
      <c r="B46" s="1014"/>
      <c r="C46" s="1014"/>
      <c r="D46" s="1014"/>
      <c r="E46" s="1014"/>
      <c r="F46" s="1014"/>
      <c r="G46" s="1014"/>
      <c r="H46" s="1014"/>
      <c r="I46" s="1014"/>
      <c r="J46" s="1"/>
      <c r="K46" s="7"/>
    </row>
    <row r="47" spans="1:11" s="49" customFormat="1" ht="12.75">
      <c r="A47" s="803" t="str">
        <f>CONCATENATE('Заявка стр. 1'!B17)</f>
        <v>Заместитель генерального директора по экономике и финансам</v>
      </c>
      <c r="B47" s="803"/>
      <c r="C47" s="803"/>
      <c r="D47" s="803"/>
      <c r="E47" s="803"/>
      <c r="F47" s="803"/>
      <c r="G47" s="803"/>
      <c r="H47" s="144"/>
      <c r="I47" s="144"/>
      <c r="J47" s="144"/>
      <c r="K47" s="144"/>
    </row>
    <row r="48" spans="1:10" s="49" customFormat="1" ht="12.75">
      <c r="A48" s="1127" t="str">
        <f>CONCATENATE('Заявка стр. 1'!A19)</f>
        <v>Короткевич Олег Иосифович</v>
      </c>
      <c r="B48" s="1127"/>
      <c r="C48" s="1127"/>
      <c r="D48" s="1127"/>
      <c r="E48" s="1127"/>
      <c r="F48" s="1127"/>
      <c r="H48" s="820" t="s">
        <v>260</v>
      </c>
      <c r="I48" s="820"/>
      <c r="J48" s="820"/>
    </row>
    <row r="49" spans="1:11" ht="12.75">
      <c r="A49" s="43"/>
      <c r="B49" s="43"/>
      <c r="C49" s="313"/>
      <c r="D49" s="314"/>
      <c r="E49" s="1253" t="s">
        <v>991</v>
      </c>
      <c r="F49" s="1253"/>
      <c r="G49" s="1253"/>
      <c r="H49" s="314"/>
      <c r="I49" s="314"/>
      <c r="J49" s="144"/>
      <c r="K49" s="144"/>
    </row>
    <row r="50" spans="1:10" ht="12.75">
      <c r="A50" s="49"/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12.75">
      <c r="A51" s="49"/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2.75">
      <c r="A52" s="49"/>
      <c r="B52" s="49"/>
      <c r="C52" s="49"/>
      <c r="D52" s="49"/>
      <c r="E52" s="49"/>
      <c r="F52" s="49"/>
      <c r="G52" s="49"/>
      <c r="H52" s="49"/>
      <c r="I52" s="49"/>
      <c r="J52" s="49"/>
    </row>
    <row r="53" spans="1:10" ht="12.75">
      <c r="A53" s="49"/>
      <c r="B53" s="49"/>
      <c r="C53" s="49"/>
      <c r="D53" s="49"/>
      <c r="E53" s="49"/>
      <c r="F53" s="49"/>
      <c r="G53" s="49"/>
      <c r="H53" s="49"/>
      <c r="I53" s="49"/>
      <c r="J53" s="49"/>
    </row>
    <row r="54" spans="1:10" ht="12.75">
      <c r="A54" s="49"/>
      <c r="B54" s="49"/>
      <c r="C54" s="49"/>
      <c r="D54" s="49"/>
      <c r="E54" s="49"/>
      <c r="F54" s="49"/>
      <c r="G54" s="49"/>
      <c r="H54" s="49"/>
      <c r="I54" s="49"/>
      <c r="J54" s="49"/>
    </row>
    <row r="55" spans="1:10" ht="12.75">
      <c r="A55" s="49"/>
      <c r="B55" s="49"/>
      <c r="C55" s="49"/>
      <c r="D55" s="49"/>
      <c r="E55" s="49"/>
      <c r="F55" s="49"/>
      <c r="G55" s="49"/>
      <c r="H55" s="49"/>
      <c r="I55" s="49"/>
      <c r="J55" s="49"/>
    </row>
    <row r="56" spans="1:10" ht="12.75">
      <c r="A56" s="49"/>
      <c r="B56" s="49"/>
      <c r="C56" s="49"/>
      <c r="D56" s="49"/>
      <c r="E56" s="49"/>
      <c r="F56" s="49"/>
      <c r="G56" s="49"/>
      <c r="H56" s="49"/>
      <c r="I56" s="49"/>
      <c r="J56" s="49"/>
    </row>
    <row r="57" spans="1:10" ht="12.75">
      <c r="A57" s="49"/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2.75">
      <c r="A58" s="49"/>
      <c r="B58" s="49"/>
      <c r="C58" s="49"/>
      <c r="D58" s="49"/>
      <c r="E58" s="49"/>
      <c r="F58" s="49"/>
      <c r="G58" s="49"/>
      <c r="H58" s="49"/>
      <c r="I58" s="49"/>
      <c r="J58" s="49"/>
    </row>
    <row r="59" spans="1:10" ht="12.75">
      <c r="A59" s="49"/>
      <c r="B59" s="49"/>
      <c r="C59" s="49"/>
      <c r="D59" s="49"/>
      <c r="E59" s="49"/>
      <c r="F59" s="49"/>
      <c r="G59" s="49"/>
      <c r="H59" s="49"/>
      <c r="I59" s="49"/>
      <c r="J59" s="49"/>
    </row>
    <row r="60" spans="1:10" ht="12.75">
      <c r="A60" s="49"/>
      <c r="B60" s="49"/>
      <c r="C60" s="49"/>
      <c r="D60" s="49"/>
      <c r="E60" s="49"/>
      <c r="F60" s="49"/>
      <c r="G60" s="49"/>
      <c r="H60" s="49"/>
      <c r="I60" s="49"/>
      <c r="J60" s="49"/>
    </row>
    <row r="61" spans="1:10" ht="12.75">
      <c r="A61" s="49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2.75">
      <c r="A62" s="49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2.75">
      <c r="A63" s="49"/>
      <c r="B63" s="49"/>
      <c r="C63" s="49"/>
      <c r="D63" s="49"/>
      <c r="E63" s="49"/>
      <c r="F63" s="49"/>
      <c r="G63" s="49"/>
      <c r="H63" s="49"/>
      <c r="I63" s="49"/>
      <c r="J63" s="49"/>
    </row>
    <row r="64" spans="1:10" ht="12.75">
      <c r="A64" s="49"/>
      <c r="B64" s="49"/>
      <c r="C64" s="49"/>
      <c r="D64" s="49"/>
      <c r="E64" s="49"/>
      <c r="F64" s="49"/>
      <c r="G64" s="49"/>
      <c r="H64" s="49"/>
      <c r="I64" s="49"/>
      <c r="J64" s="49"/>
    </row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  <row r="92" s="49" customFormat="1" ht="12.75"/>
    <row r="93" s="49" customFormat="1" ht="12.75"/>
    <row r="94" s="49" customFormat="1" ht="12.75"/>
    <row r="95" s="49" customFormat="1" ht="12.75"/>
    <row r="96" s="49" customFormat="1" ht="12.75"/>
    <row r="97" s="49" customFormat="1" ht="12.75"/>
    <row r="98" s="49" customFormat="1" ht="12.75"/>
    <row r="99" s="49" customFormat="1" ht="12.75"/>
    <row r="100" s="49" customFormat="1" ht="12.75"/>
    <row r="101" s="49" customFormat="1" ht="12.75"/>
    <row r="102" s="49" customFormat="1" ht="12.75"/>
    <row r="103" s="49" customFormat="1" ht="12.75"/>
    <row r="104" s="49" customFormat="1" ht="12.75"/>
    <row r="105" s="49" customFormat="1" ht="12.75"/>
    <row r="106" s="49" customFormat="1" ht="12.75"/>
    <row r="107" s="49" customFormat="1" ht="12.75"/>
    <row r="108" s="49" customFormat="1" ht="12.75"/>
    <row r="109" s="49" customFormat="1" ht="12.75"/>
    <row r="110" s="49" customFormat="1" ht="12.75"/>
    <row r="111" s="49" customFormat="1" ht="12.75"/>
    <row r="112" s="49" customFormat="1" ht="12.75"/>
    <row r="113" s="49" customFormat="1" ht="12.75"/>
    <row r="114" s="49" customFormat="1" ht="12.75"/>
    <row r="115" s="49" customFormat="1" ht="12.75"/>
    <row r="116" s="49" customFormat="1" ht="12.75"/>
    <row r="117" s="49" customFormat="1" ht="12.75"/>
    <row r="118" s="49" customFormat="1" ht="12.75"/>
    <row r="119" s="49" customFormat="1" ht="12.75"/>
    <row r="120" s="49" customFormat="1" ht="12.75"/>
    <row r="121" s="49" customFormat="1" ht="12.75"/>
    <row r="122" s="49" customFormat="1" ht="12.75"/>
    <row r="123" s="49" customFormat="1" ht="12.75"/>
    <row r="124" s="49" customFormat="1" ht="12.75"/>
    <row r="125" s="49" customFormat="1" ht="12.75"/>
    <row r="126" s="49" customFormat="1" ht="12.75"/>
    <row r="127" s="49" customFormat="1" ht="12.75"/>
    <row r="128" s="49" customFormat="1" ht="12.75"/>
    <row r="129" s="49" customFormat="1" ht="12.75"/>
    <row r="130" s="49" customFormat="1" ht="12.75"/>
    <row r="131" s="49" customFormat="1" ht="12.75"/>
    <row r="132" s="49" customFormat="1" ht="12.75"/>
    <row r="133" s="49" customFormat="1" ht="12.75"/>
    <row r="134" s="49" customFormat="1" ht="12.75"/>
    <row r="135" s="49" customFormat="1" ht="12.75"/>
    <row r="136" s="49" customFormat="1" ht="12.75"/>
    <row r="137" s="49" customFormat="1" ht="12.75"/>
    <row r="138" s="49" customFormat="1" ht="12.75"/>
    <row r="139" s="49" customFormat="1" ht="12.75"/>
    <row r="140" s="49" customFormat="1" ht="12.75"/>
    <row r="141" s="49" customFormat="1" ht="12.75"/>
    <row r="142" s="49" customFormat="1" ht="12.75"/>
    <row r="143" s="49" customFormat="1" ht="12.75"/>
    <row r="144" s="49" customFormat="1" ht="12.75"/>
    <row r="145" s="49" customFormat="1" ht="12.75"/>
  </sheetData>
  <sheetProtection password="CC03" sheet="1" formatCells="0" formatColumns="0" formatRows="0" selectLockedCells="1"/>
  <mergeCells count="68">
    <mergeCell ref="A22:B22"/>
    <mergeCell ref="A41:J41"/>
    <mergeCell ref="A33:J33"/>
    <mergeCell ref="A36:B36"/>
    <mergeCell ref="C35:F35"/>
    <mergeCell ref="A39:J39"/>
    <mergeCell ref="A23:B23"/>
    <mergeCell ref="C23:F23"/>
    <mergeCell ref="A27:J27"/>
    <mergeCell ref="A24:B24"/>
    <mergeCell ref="A35:B35"/>
    <mergeCell ref="H35:J35"/>
    <mergeCell ref="H30:J30"/>
    <mergeCell ref="C29:F29"/>
    <mergeCell ref="C30:F30"/>
    <mergeCell ref="C24:F24"/>
    <mergeCell ref="H23:J23"/>
    <mergeCell ref="A17:B17"/>
    <mergeCell ref="C14:J14"/>
    <mergeCell ref="H24:J24"/>
    <mergeCell ref="C21:F21"/>
    <mergeCell ref="A20:B20"/>
    <mergeCell ref="C22:J22"/>
    <mergeCell ref="G9:H9"/>
    <mergeCell ref="G11:H11"/>
    <mergeCell ref="B5:C5"/>
    <mergeCell ref="B11:D11"/>
    <mergeCell ref="H17:J17"/>
    <mergeCell ref="B15:J15"/>
    <mergeCell ref="C17:F17"/>
    <mergeCell ref="A14:B14"/>
    <mergeCell ref="H1:J1"/>
    <mergeCell ref="H2:J2"/>
    <mergeCell ref="G1:G3"/>
    <mergeCell ref="B9:C9"/>
    <mergeCell ref="A7:D7"/>
    <mergeCell ref="A2:B2"/>
    <mergeCell ref="C2:E2"/>
    <mergeCell ref="C3:E3"/>
    <mergeCell ref="A1:B1"/>
    <mergeCell ref="G5:H7"/>
    <mergeCell ref="C19:J19"/>
    <mergeCell ref="A18:J18"/>
    <mergeCell ref="A19:B19"/>
    <mergeCell ref="H20:J20"/>
    <mergeCell ref="H21:J21"/>
    <mergeCell ref="C20:F20"/>
    <mergeCell ref="A21:B21"/>
    <mergeCell ref="E49:G49"/>
    <mergeCell ref="C36:F36"/>
    <mergeCell ref="D42:F42"/>
    <mergeCell ref="D43:F43"/>
    <mergeCell ref="A47:G47"/>
    <mergeCell ref="A46:I46"/>
    <mergeCell ref="I42:J42"/>
    <mergeCell ref="I43:J43"/>
    <mergeCell ref="B42:C42"/>
    <mergeCell ref="A48:F48"/>
    <mergeCell ref="B43:C43"/>
    <mergeCell ref="E25:J25"/>
    <mergeCell ref="A45:B45"/>
    <mergeCell ref="H48:J48"/>
    <mergeCell ref="G26:J26"/>
    <mergeCell ref="A30:B30"/>
    <mergeCell ref="A31:E31"/>
    <mergeCell ref="G31:J31"/>
    <mergeCell ref="A29:B29"/>
    <mergeCell ref="H29:J29"/>
  </mergeCells>
  <conditionalFormatting sqref="K45">
    <cfRule type="expression" priority="1" dxfId="67" stopIfTrue="1">
      <formula>OR($J$47&gt;0,$J$49&gt;0,$K$36&gt;0,$K$26&gt;0,$J$17&gt;0,$J$18&gt;0)</formula>
    </cfRule>
    <cfRule type="expression" priority="2" dxfId="65" stopIfTrue="1">
      <formula>AND($J$16&lt;9,$J$19&lt;9)</formula>
    </cfRule>
  </conditionalFormatting>
  <conditionalFormatting sqref="J5 J9 J7 J11">
    <cfRule type="cellIs" priority="3" dxfId="65" operator="equal" stopIfTrue="1">
      <formula>0</formula>
    </cfRule>
  </conditionalFormatting>
  <conditionalFormatting sqref="B11:D11 B9 D9">
    <cfRule type="cellIs" priority="4" dxfId="66" operator="equal" stopIfTrue="1">
      <formula>0</formula>
    </cfRule>
  </conditionalFormatting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6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1.75390625" style="0" customWidth="1"/>
    <col min="2" max="2" width="7.25390625" style="0" customWidth="1"/>
    <col min="3" max="3" width="9.75390625" style="0" customWidth="1"/>
    <col min="4" max="4" width="8.25390625" style="0" customWidth="1"/>
    <col min="5" max="5" width="7.125" style="0" customWidth="1"/>
    <col min="6" max="6" width="11.25390625" style="0" customWidth="1"/>
    <col min="7" max="7" width="7.625" style="0" customWidth="1"/>
    <col min="8" max="8" width="12.75390625" style="0" customWidth="1"/>
    <col min="9" max="9" width="10.125" style="0" customWidth="1"/>
    <col min="10" max="10" width="12.875" style="0" customWidth="1"/>
    <col min="11" max="19" width="9.125" style="49" customWidth="1"/>
  </cols>
  <sheetData>
    <row r="1" spans="1:10" ht="25.5" customHeight="1">
      <c r="A1" s="1034" t="s">
        <v>766</v>
      </c>
      <c r="B1" s="1034"/>
      <c r="C1" s="115"/>
      <c r="D1" s="115"/>
      <c r="E1" s="121"/>
      <c r="F1" s="1258" t="s">
        <v>767</v>
      </c>
      <c r="G1" s="1258"/>
      <c r="H1" s="30"/>
      <c r="I1" s="1009" t="s">
        <v>55</v>
      </c>
      <c r="J1" s="1009"/>
    </row>
    <row r="2" spans="1:10" ht="24.75" customHeight="1">
      <c r="A2" s="1316" t="s">
        <v>1067</v>
      </c>
      <c r="B2" s="1316"/>
      <c r="C2" s="1307" t="str">
        <f>'содержание '!C79</f>
        <v>ArmHiTec-2016</v>
      </c>
      <c r="D2" s="1307"/>
      <c r="E2" s="1307"/>
      <c r="F2" s="1258"/>
      <c r="G2" s="1258"/>
      <c r="H2" s="1091"/>
      <c r="I2" s="1091"/>
      <c r="J2" s="1091"/>
    </row>
    <row r="3" spans="1:10" ht="20.25" customHeight="1">
      <c r="A3" s="420" t="s">
        <v>1068</v>
      </c>
      <c r="B3" s="202" t="str">
        <f>CONCATENATE('содержание '!C104)</f>
        <v>/AHT</v>
      </c>
      <c r="C3" s="1337" t="s">
        <v>748</v>
      </c>
      <c r="D3" s="1337"/>
      <c r="E3" s="1337"/>
      <c r="F3" s="1259"/>
      <c r="G3" s="1259"/>
      <c r="H3" s="208" t="s">
        <v>185</v>
      </c>
      <c r="I3" s="1353" t="str">
        <f>'содержание '!C93</f>
        <v>1 сентября 2016 года</v>
      </c>
      <c r="J3" s="1353"/>
    </row>
    <row r="4" spans="1:25" s="1" customFormat="1" ht="10.5" customHeight="1">
      <c r="A4" s="31"/>
      <c r="B4" s="34"/>
      <c r="C4" s="152"/>
      <c r="D4" s="152"/>
      <c r="E4" s="152"/>
      <c r="F4" s="152"/>
      <c r="G4" s="152"/>
      <c r="H4" s="177"/>
      <c r="I4" s="177"/>
      <c r="J4" s="177"/>
      <c r="K4" s="149"/>
      <c r="L4" s="149"/>
      <c r="M4" s="149"/>
      <c r="N4" s="149"/>
      <c r="O4" s="52"/>
      <c r="P4" s="52"/>
      <c r="Q4" s="7"/>
      <c r="R4" s="22"/>
      <c r="S4" s="22"/>
      <c r="T4" s="22"/>
      <c r="U4" s="7"/>
      <c r="V4" s="7"/>
      <c r="W4" s="7"/>
      <c r="X4" s="7"/>
      <c r="Y4" s="7"/>
    </row>
    <row r="5" spans="1:25" s="1" customFormat="1" ht="12" customHeight="1">
      <c r="A5" s="494" t="s">
        <v>865</v>
      </c>
      <c r="B5" s="1112">
        <f>CONCATENATE('Заявка стр. 2'!B10)</f>
      </c>
      <c r="C5" s="1112"/>
      <c r="D5" s="1112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728"/>
      <c r="I5" s="686" t="s">
        <v>271</v>
      </c>
      <c r="J5" s="291">
        <f>'Заявка стр. 2'!L8</f>
        <v>0</v>
      </c>
      <c r="L5" s="188"/>
      <c r="M5" s="7"/>
      <c r="N5" s="7"/>
      <c r="O5" s="7"/>
      <c r="P5" s="7"/>
      <c r="Q5" s="161"/>
      <c r="R5" s="7"/>
      <c r="S5" s="7"/>
      <c r="T5" s="7"/>
      <c r="U5" s="7"/>
      <c r="V5" s="7"/>
      <c r="W5" s="7"/>
      <c r="X5" s="7"/>
      <c r="Y5" s="7"/>
    </row>
    <row r="6" spans="1:17" s="7" customFormat="1" ht="2.25" customHeight="1">
      <c r="A6" s="193"/>
      <c r="B6" s="194"/>
      <c r="C6" s="165"/>
      <c r="D6" s="165"/>
      <c r="E6" s="155"/>
      <c r="F6" s="728"/>
      <c r="G6" s="728"/>
      <c r="H6" s="728"/>
      <c r="I6" s="161"/>
      <c r="J6" s="157"/>
      <c r="L6" s="188"/>
      <c r="Q6" s="161"/>
    </row>
    <row r="7" spans="1:25" s="1" customFormat="1" ht="12" customHeight="1">
      <c r="A7" s="1112" t="s">
        <v>186</v>
      </c>
      <c r="B7" s="1112"/>
      <c r="C7" s="1112"/>
      <c r="D7" s="1112"/>
      <c r="E7" s="174"/>
      <c r="F7" s="1352"/>
      <c r="G7" s="1352"/>
      <c r="H7" s="1352"/>
      <c r="I7" s="153" t="s">
        <v>713</v>
      </c>
      <c r="J7" s="291">
        <f>'Заявка стр. 2'!L10</f>
        <v>0</v>
      </c>
      <c r="L7" s="188"/>
      <c r="M7" s="7"/>
      <c r="N7" s="7"/>
      <c r="O7" s="7"/>
      <c r="P7" s="7"/>
      <c r="Q7" s="161"/>
      <c r="R7" s="7"/>
      <c r="S7" s="7"/>
      <c r="T7" s="7"/>
      <c r="U7" s="7"/>
      <c r="V7" s="7"/>
      <c r="W7" s="7"/>
      <c r="X7" s="7"/>
      <c r="Y7" s="7"/>
    </row>
    <row r="8" spans="1:17" s="7" customFormat="1" ht="2.25" customHeight="1">
      <c r="A8" s="166"/>
      <c r="B8" s="164"/>
      <c r="C8" s="167"/>
      <c r="D8" s="167"/>
      <c r="E8" s="157"/>
      <c r="F8" s="157"/>
      <c r="I8" s="154"/>
      <c r="J8" s="180"/>
      <c r="L8" s="181"/>
      <c r="Q8" s="161"/>
    </row>
    <row r="9" spans="1:25" s="1" customFormat="1" ht="12" customHeight="1">
      <c r="A9" s="170" t="s">
        <v>982</v>
      </c>
      <c r="B9" s="1140" t="str">
        <f>'Заявка стр. 2'!C12</f>
        <v> +7 (495) 937-40-81, доб.</v>
      </c>
      <c r="C9" s="1140"/>
      <c r="D9" s="168">
        <f>'Заявка стр. 2'!E12</f>
        <v>0</v>
      </c>
      <c r="E9" s="155" t="s">
        <v>977</v>
      </c>
      <c r="F9" s="155"/>
      <c r="G9" s="871" t="str">
        <f>CONCATENATE('Заявка стр. 1'!A25)</f>
        <v>Симонова Наталья Владимировна</v>
      </c>
      <c r="H9" s="871"/>
      <c r="I9" s="153" t="s">
        <v>979</v>
      </c>
      <c r="J9" s="291">
        <f>'Заявка стр. 2'!L12</f>
        <v>0</v>
      </c>
      <c r="L9" s="70"/>
      <c r="M9" s="7"/>
      <c r="N9" s="7"/>
      <c r="O9" s="7"/>
      <c r="P9" s="7"/>
      <c r="Q9" s="161"/>
      <c r="R9" s="7"/>
      <c r="S9" s="7"/>
      <c r="T9" s="7"/>
      <c r="U9" s="7"/>
      <c r="V9" s="7"/>
      <c r="W9" s="7"/>
      <c r="X9" s="7"/>
      <c r="Y9" s="7"/>
    </row>
    <row r="10" spans="1:17" s="7" customFormat="1" ht="2.25" customHeight="1">
      <c r="A10" s="166"/>
      <c r="B10" s="164"/>
      <c r="C10" s="164"/>
      <c r="D10" s="164"/>
      <c r="E10" s="160"/>
      <c r="F10" s="160"/>
      <c r="I10" s="154"/>
      <c r="J10" s="180"/>
      <c r="L10" s="182"/>
      <c r="Q10" s="161"/>
    </row>
    <row r="11" spans="1:25" s="1" customFormat="1" ht="12" customHeight="1">
      <c r="A11" s="170" t="s">
        <v>595</v>
      </c>
      <c r="B11" s="1140">
        <f>'Заявка стр. 2'!C14</f>
        <v>0</v>
      </c>
      <c r="C11" s="721"/>
      <c r="D11" s="721"/>
      <c r="E11" s="173" t="s">
        <v>978</v>
      </c>
      <c r="F11" s="173"/>
      <c r="G11" s="871" t="str">
        <f>CONCATENATE('Заявка стр. 1'!B27)</f>
        <v>(495) 276-52-71</v>
      </c>
      <c r="H11" s="871"/>
      <c r="I11" s="153"/>
      <c r="J11" s="180"/>
      <c r="L11" s="70"/>
      <c r="M11" s="7"/>
      <c r="N11" s="7"/>
      <c r="O11" s="7"/>
      <c r="P11" s="7"/>
      <c r="Q11" s="161"/>
      <c r="R11" s="7"/>
      <c r="S11" s="7"/>
      <c r="T11" s="7"/>
      <c r="U11" s="7"/>
      <c r="V11" s="7"/>
      <c r="W11" s="7"/>
      <c r="X11" s="7"/>
      <c r="Y11" s="7"/>
    </row>
    <row r="12" spans="1:25" s="1" customFormat="1" ht="4.5" customHeight="1">
      <c r="A12" s="203"/>
      <c r="B12" s="204"/>
      <c r="C12" s="204"/>
      <c r="D12" s="204"/>
      <c r="E12" s="203"/>
      <c r="F12" s="203"/>
      <c r="G12" s="205"/>
      <c r="H12" s="202"/>
      <c r="I12" s="202"/>
      <c r="J12" s="202"/>
      <c r="K12" s="70"/>
      <c r="L12" s="7"/>
      <c r="M12" s="70"/>
      <c r="N12" s="182"/>
      <c r="O12" s="153"/>
      <c r="P12" s="180"/>
      <c r="Q12" s="161"/>
      <c r="R12" s="22"/>
      <c r="S12" s="22"/>
      <c r="T12" s="70"/>
      <c r="U12" s="7"/>
      <c r="V12" s="7"/>
      <c r="W12" s="7"/>
      <c r="X12" s="7"/>
      <c r="Y12" s="7"/>
    </row>
    <row r="13" spans="1:10" ht="39" customHeight="1">
      <c r="A13" s="122" t="s">
        <v>192</v>
      </c>
      <c r="B13" s="1354" t="str">
        <f>CONCATENATE('Заявка стр. 1'!B3)</f>
        <v>АО "Научно-производственный центр "Вигстар"</v>
      </c>
      <c r="C13" s="1354"/>
      <c r="D13" s="1354"/>
      <c r="E13" s="1354"/>
      <c r="F13" s="1354"/>
      <c r="G13" s="1354"/>
      <c r="H13" s="1354"/>
      <c r="I13" s="1354"/>
      <c r="J13" s="1354"/>
    </row>
    <row r="14" spans="1:10" ht="12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9.5" customHeight="1">
      <c r="A15" s="49" t="s">
        <v>190</v>
      </c>
      <c r="B15" s="1346"/>
      <c r="C15" s="1346"/>
      <c r="D15" s="1346"/>
      <c r="E15" s="49" t="s">
        <v>191</v>
      </c>
      <c r="F15" s="1355" t="str">
        <f>CONCATENATE('Заявка стр. 1'!B11)</f>
        <v>117545, Москва, 1-й Дорожный проезд, д.8</v>
      </c>
      <c r="G15" s="1355"/>
      <c r="H15" s="1355"/>
      <c r="I15" s="1355"/>
      <c r="J15" s="1355"/>
    </row>
    <row r="16" spans="1:10" ht="11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19.5" customHeight="1">
      <c r="A17" s="49" t="s">
        <v>978</v>
      </c>
      <c r="B17" s="1346"/>
      <c r="C17" s="1346"/>
      <c r="D17" s="1346"/>
      <c r="E17" t="s">
        <v>189</v>
      </c>
      <c r="F17" s="422"/>
      <c r="G17" t="s">
        <v>768</v>
      </c>
      <c r="H17" s="422"/>
      <c r="I17" t="s">
        <v>769</v>
      </c>
      <c r="J17" s="422"/>
    </row>
    <row r="18" spans="1:10" ht="14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9.5" customHeight="1">
      <c r="A19" s="49" t="s">
        <v>392</v>
      </c>
      <c r="B19" s="49"/>
      <c r="C19" s="49"/>
      <c r="D19" s="49"/>
      <c r="E19" s="1350" t="str">
        <f>CONCATENATE('Заявка стр. 1'!B17)</f>
        <v>Заместитель генерального директора по экономике и финансам</v>
      </c>
      <c r="F19" s="1350"/>
      <c r="G19" s="1350"/>
      <c r="H19" s="1350"/>
      <c r="I19" s="1350"/>
      <c r="J19" s="1350"/>
    </row>
    <row r="20" spans="1:12" ht="14.25" customHeight="1">
      <c r="A20" s="49"/>
      <c r="B20" s="49"/>
      <c r="C20" s="49"/>
      <c r="D20" s="49"/>
      <c r="E20" s="1344" t="s">
        <v>770</v>
      </c>
      <c r="F20" s="1344"/>
      <c r="G20" s="1344"/>
      <c r="H20" s="1344"/>
      <c r="I20" s="1344"/>
      <c r="J20" s="1344"/>
      <c r="L20" s="94"/>
    </row>
    <row r="21" spans="1:10" ht="19.5" customHeight="1">
      <c r="A21" s="1350" t="str">
        <f>CONCATENATE('Заявка стр. 1'!A19)</f>
        <v>Короткевич Олег Иосифович</v>
      </c>
      <c r="B21" s="1350"/>
      <c r="C21" s="1350"/>
      <c r="D21" s="1350"/>
      <c r="E21" s="1350"/>
      <c r="F21" s="1350"/>
      <c r="G21" s="1350"/>
      <c r="H21" s="1350"/>
      <c r="I21" s="1350"/>
      <c r="J21" s="1350"/>
    </row>
    <row r="22" spans="1:10" ht="14.25" customHeight="1">
      <c r="A22" s="1344" t="s">
        <v>772</v>
      </c>
      <c r="B22" s="1344"/>
      <c r="C22" s="1344"/>
      <c r="D22" s="1344"/>
      <c r="E22" s="1344"/>
      <c r="F22" s="1344"/>
      <c r="G22" s="1344"/>
      <c r="H22" s="1344"/>
      <c r="I22" s="1344"/>
      <c r="J22" s="1344"/>
    </row>
    <row r="23" spans="1:10" ht="6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9.5" customHeight="1">
      <c r="A24" s="1358" t="s">
        <v>187</v>
      </c>
      <c r="B24" s="1358"/>
      <c r="C24" s="1358"/>
      <c r="D24" s="1358"/>
      <c r="E24" s="1356" t="str">
        <f>CONCATENATE(Договор!D13)</f>
        <v>Доверенности № 51 от 03.12.2015г.</v>
      </c>
      <c r="F24" s="1356"/>
      <c r="G24" s="1356"/>
      <c r="H24" s="1356"/>
      <c r="I24" s="1356"/>
      <c r="J24" s="1356"/>
    </row>
    <row r="25" spans="1:10" ht="19.5" customHeight="1">
      <c r="A25" s="1357" t="s">
        <v>188</v>
      </c>
      <c r="B25" s="1357"/>
      <c r="C25" s="1357"/>
      <c r="D25" s="1357"/>
      <c r="E25" s="1357"/>
      <c r="F25" s="1357"/>
      <c r="G25" s="1357"/>
      <c r="H25" s="1357"/>
      <c r="I25" s="1357"/>
      <c r="J25" s="1357"/>
    </row>
    <row r="26" spans="1:10" ht="19.5" customHeight="1">
      <c r="A26" s="1346"/>
      <c r="B26" s="1346"/>
      <c r="C26" s="1346"/>
      <c r="D26" s="1346"/>
      <c r="E26" s="1346"/>
      <c r="F26" s="1346"/>
      <c r="G26" s="1346"/>
      <c r="H26" s="1346"/>
      <c r="I26" s="1346"/>
      <c r="J26" s="1346"/>
    </row>
    <row r="27" spans="1:10" ht="14.25" customHeight="1">
      <c r="A27" s="1347" t="s">
        <v>773</v>
      </c>
      <c r="B27" s="1347"/>
      <c r="C27" s="1347"/>
      <c r="D27" s="1347"/>
      <c r="E27" s="1347"/>
      <c r="F27" s="1347"/>
      <c r="G27" s="1347"/>
      <c r="H27" s="1347"/>
      <c r="I27" s="1347"/>
      <c r="J27" s="1347"/>
    </row>
    <row r="28" spans="1:10" ht="9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9.5" customHeight="1">
      <c r="A29" s="49" t="s">
        <v>774</v>
      </c>
      <c r="C29" s="1357" t="s">
        <v>775</v>
      </c>
      <c r="D29" s="1357"/>
      <c r="E29" s="1346"/>
      <c r="F29" s="1346"/>
      <c r="G29" s="49" t="s">
        <v>776</v>
      </c>
      <c r="H29" s="1346"/>
      <c r="I29" s="1346"/>
      <c r="J29" s="1346"/>
    </row>
    <row r="30" spans="1:10" ht="19.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9.5" customHeight="1">
      <c r="A31" s="49" t="s">
        <v>777</v>
      </c>
      <c r="B31" s="49"/>
      <c r="C31" s="49"/>
      <c r="D31" s="49"/>
      <c r="E31" s="1346"/>
      <c r="F31" s="1346"/>
      <c r="G31" s="1346"/>
      <c r="H31" s="1346"/>
      <c r="I31" s="1346"/>
      <c r="J31" s="1346"/>
    </row>
    <row r="32" spans="1:10" ht="19.5" customHeight="1">
      <c r="A32" s="49"/>
      <c r="B32" s="49"/>
      <c r="C32" s="49"/>
      <c r="D32" s="49"/>
      <c r="E32" s="123"/>
      <c r="F32" s="123"/>
      <c r="G32" s="123"/>
      <c r="H32" s="124"/>
      <c r="I32" s="124"/>
      <c r="J32" s="124"/>
    </row>
    <row r="33" spans="1:10" ht="19.5" customHeight="1">
      <c r="A33" s="1346"/>
      <c r="B33" s="1346"/>
      <c r="C33" s="1346"/>
      <c r="D33" s="1346"/>
      <c r="E33" s="1346"/>
      <c r="F33" s="1346"/>
      <c r="G33" s="1346"/>
      <c r="H33" s="1351" t="s">
        <v>213</v>
      </c>
      <c r="I33" s="1351"/>
      <c r="J33" s="1351"/>
    </row>
    <row r="34" spans="1:10" ht="19.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9.5" customHeight="1">
      <c r="A35" s="1346"/>
      <c r="B35" s="1346"/>
      <c r="C35" s="1346"/>
      <c r="D35" s="1346"/>
      <c r="E35" s="1346"/>
      <c r="F35" s="1346"/>
      <c r="G35" s="49"/>
      <c r="H35" s="1348"/>
      <c r="I35" s="1348"/>
      <c r="J35" s="1348"/>
    </row>
    <row r="36" spans="1:10" ht="15" customHeight="1">
      <c r="A36" s="1343" t="s">
        <v>393</v>
      </c>
      <c r="B36" s="1343"/>
      <c r="C36" s="1343"/>
      <c r="D36" s="1343"/>
      <c r="E36" s="1343"/>
      <c r="F36" s="1343"/>
      <c r="G36" s="49"/>
      <c r="H36" s="1343" t="s">
        <v>214</v>
      </c>
      <c r="I36" s="1343"/>
      <c r="J36" s="1343"/>
    </row>
    <row r="37" spans="1:10" ht="9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6.5" customHeight="1">
      <c r="A38" s="1349" t="s">
        <v>1069</v>
      </c>
      <c r="B38" s="1349"/>
      <c r="C38" s="1349"/>
      <c r="D38" s="1349"/>
      <c r="E38" s="1349"/>
      <c r="F38" s="1349"/>
      <c r="G38" s="1349"/>
      <c r="H38" s="1349"/>
      <c r="I38" s="1349"/>
      <c r="J38" s="1349"/>
    </row>
    <row r="39" spans="1:10" ht="13.5" customHeight="1">
      <c r="A39" s="125" t="s">
        <v>933</v>
      </c>
      <c r="B39" s="1345" t="str">
        <f>'содержание '!C79</f>
        <v>ArmHiTec-2016</v>
      </c>
      <c r="C39" s="1345"/>
      <c r="D39" s="1345"/>
      <c r="E39" s="1345"/>
      <c r="F39" s="1345" t="s">
        <v>934</v>
      </c>
      <c r="G39" s="1345"/>
      <c r="H39" s="1345"/>
      <c r="I39" s="1345"/>
      <c r="J39" s="1345"/>
    </row>
    <row r="40" spans="1:10" ht="15.75" customHeight="1">
      <c r="A40" s="1349" t="s">
        <v>935</v>
      </c>
      <c r="B40" s="1349"/>
      <c r="C40" s="1349"/>
      <c r="D40" s="1349"/>
      <c r="E40" s="1349"/>
      <c r="F40" s="1349"/>
      <c r="G40" s="1349" t="str">
        <f>'содержание '!C79</f>
        <v>ArmHiTec-2016</v>
      </c>
      <c r="H40" s="1349"/>
      <c r="I40" s="1349"/>
      <c r="J40" s="1349"/>
    </row>
    <row r="41" spans="1:10" ht="19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9.5" customHeight="1">
      <c r="A42" s="49" t="s">
        <v>215</v>
      </c>
      <c r="B42" s="49"/>
      <c r="C42" s="49"/>
      <c r="D42" s="49"/>
      <c r="E42" s="49"/>
      <c r="F42" s="1348"/>
      <c r="G42" s="1348"/>
      <c r="H42" s="1348"/>
      <c r="I42" s="1348"/>
      <c r="J42" s="1348"/>
    </row>
    <row r="43" spans="1:10" ht="15" customHeight="1">
      <c r="A43" s="49"/>
      <c r="B43" s="49"/>
      <c r="C43" s="49"/>
      <c r="D43" s="49"/>
      <c r="E43" s="49"/>
      <c r="F43" s="1344" t="s">
        <v>216</v>
      </c>
      <c r="G43" s="1344"/>
      <c r="H43" s="1344"/>
      <c r="I43" s="1344"/>
      <c r="J43" s="1344"/>
    </row>
    <row r="44" spans="1:10" ht="13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25" s="49" customFormat="1" ht="12.75">
      <c r="A45" s="708" t="s">
        <v>564</v>
      </c>
      <c r="B45" s="708"/>
      <c r="C45" s="1"/>
      <c r="D45" s="7"/>
      <c r="E45" s="224"/>
      <c r="F45" s="224"/>
      <c r="G45" s="224"/>
      <c r="H45" s="224"/>
      <c r="I45" s="224"/>
      <c r="J45" s="224"/>
      <c r="K45" s="353"/>
      <c r="T45"/>
      <c r="U45"/>
      <c r="V45"/>
      <c r="W45"/>
      <c r="X45"/>
      <c r="Y45"/>
    </row>
    <row r="46" spans="1:25" s="49" customFormat="1" ht="15.75" customHeight="1">
      <c r="A46" s="1014" t="str">
        <f>CONCATENATE('Заявка стр. 1'!B4)</f>
        <v>АО "Научно-производственный центр "Вигстар"</v>
      </c>
      <c r="B46" s="1014"/>
      <c r="C46" s="1014"/>
      <c r="D46" s="1014"/>
      <c r="E46" s="1014"/>
      <c r="F46" s="1014"/>
      <c r="G46" s="1014"/>
      <c r="H46" s="1014"/>
      <c r="I46" s="1014"/>
      <c r="J46" s="1"/>
      <c r="K46" s="7"/>
      <c r="T46"/>
      <c r="U46"/>
      <c r="V46"/>
      <c r="W46"/>
      <c r="X46"/>
      <c r="Y46"/>
    </row>
    <row r="47" spans="1:25" s="49" customFormat="1" ht="12.75">
      <c r="A47" s="803" t="str">
        <f>CONCATENATE('Заявка стр. 1'!B17)</f>
        <v>Заместитель генерального директора по экономике и финансам</v>
      </c>
      <c r="B47" s="803"/>
      <c r="C47" s="803"/>
      <c r="D47" s="803"/>
      <c r="E47" s="803"/>
      <c r="F47" s="803"/>
      <c r="G47" s="803"/>
      <c r="H47" s="144"/>
      <c r="I47" s="144"/>
      <c r="J47" s="144"/>
      <c r="K47" s="144"/>
      <c r="T47"/>
      <c r="U47"/>
      <c r="V47"/>
      <c r="W47"/>
      <c r="X47"/>
      <c r="Y47"/>
    </row>
    <row r="48" spans="1:25" s="49" customFormat="1" ht="12.75">
      <c r="A48" s="1127" t="str">
        <f>CONCATENATE('Заявка стр. 1'!A19)</f>
        <v>Короткевич Олег Иосифович</v>
      </c>
      <c r="B48" s="1127"/>
      <c r="C48" s="1127"/>
      <c r="D48" s="1127"/>
      <c r="E48" s="1127"/>
      <c r="F48" s="1127"/>
      <c r="H48" s="820" t="s">
        <v>260</v>
      </c>
      <c r="I48" s="820"/>
      <c r="J48" s="820"/>
      <c r="T48"/>
      <c r="U48"/>
      <c r="V48"/>
      <c r="W48"/>
      <c r="X48"/>
      <c r="Y48"/>
    </row>
    <row r="49" spans="1:25" s="49" customFormat="1" ht="12.75">
      <c r="A49" s="43"/>
      <c r="B49" s="43"/>
      <c r="C49" s="313"/>
      <c r="D49" s="314"/>
      <c r="E49" s="1253" t="s">
        <v>991</v>
      </c>
      <c r="F49" s="1253"/>
      <c r="G49" s="1253"/>
      <c r="H49" s="314"/>
      <c r="I49" s="314"/>
      <c r="J49" s="144"/>
      <c r="K49" s="144"/>
      <c r="T49"/>
      <c r="U49"/>
      <c r="V49"/>
      <c r="W49"/>
      <c r="X49"/>
      <c r="Y49"/>
    </row>
    <row r="50" spans="1:10" ht="12.75">
      <c r="A50" s="49"/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12.75">
      <c r="A51" s="49"/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2.75">
      <c r="A52" s="49"/>
      <c r="B52" s="49"/>
      <c r="C52" s="49"/>
      <c r="D52" s="49"/>
      <c r="E52" s="49"/>
      <c r="F52" s="49"/>
      <c r="G52" s="49"/>
      <c r="H52" s="49"/>
      <c r="I52" s="49"/>
      <c r="J52" s="49"/>
    </row>
    <row r="53" spans="1:10" ht="12.75">
      <c r="A53" s="49"/>
      <c r="B53" s="49"/>
      <c r="C53" s="49"/>
      <c r="D53" s="49"/>
      <c r="E53" s="49"/>
      <c r="F53" s="49"/>
      <c r="G53" s="49"/>
      <c r="H53" s="49"/>
      <c r="I53" s="49"/>
      <c r="J53" s="49"/>
    </row>
    <row r="54" spans="1:10" ht="12.75">
      <c r="A54" s="49"/>
      <c r="B54" s="49"/>
      <c r="C54" s="49"/>
      <c r="D54" s="49"/>
      <c r="E54" s="49"/>
      <c r="F54" s="49"/>
      <c r="G54" s="49"/>
      <c r="H54" s="49"/>
      <c r="I54" s="49"/>
      <c r="J54" s="49"/>
    </row>
    <row r="55" spans="1:10" ht="12.75">
      <c r="A55" s="49"/>
      <c r="B55" s="49"/>
      <c r="C55" s="49"/>
      <c r="D55" s="49"/>
      <c r="E55" s="49"/>
      <c r="F55" s="49"/>
      <c r="G55" s="49"/>
      <c r="H55" s="49"/>
      <c r="I55" s="49"/>
      <c r="J55" s="49"/>
    </row>
    <row r="56" spans="1:10" ht="12.75">
      <c r="A56" s="49"/>
      <c r="B56" s="49"/>
      <c r="C56" s="49"/>
      <c r="D56" s="49"/>
      <c r="E56" s="49"/>
      <c r="F56" s="49"/>
      <c r="G56" s="49"/>
      <c r="H56" s="49"/>
      <c r="I56" s="49"/>
      <c r="J56" s="49"/>
    </row>
    <row r="57" spans="20:25" s="49" customFormat="1" ht="12.75">
      <c r="T57"/>
      <c r="U57"/>
      <c r="V57"/>
      <c r="W57"/>
      <c r="X57"/>
      <c r="Y57"/>
    </row>
    <row r="58" spans="20:25" s="49" customFormat="1" ht="12.75">
      <c r="T58"/>
      <c r="U58"/>
      <c r="V58"/>
      <c r="W58"/>
      <c r="X58"/>
      <c r="Y58"/>
    </row>
    <row r="59" spans="20:25" s="49" customFormat="1" ht="12.75">
      <c r="T59"/>
      <c r="U59"/>
      <c r="V59"/>
      <c r="W59"/>
      <c r="X59"/>
      <c r="Y59"/>
    </row>
    <row r="60" spans="20:25" s="49" customFormat="1" ht="12.75">
      <c r="T60"/>
      <c r="U60"/>
      <c r="V60"/>
      <c r="W60"/>
      <c r="X60"/>
      <c r="Y60"/>
    </row>
    <row r="61" spans="20:25" s="49" customFormat="1" ht="12.75">
      <c r="T61"/>
      <c r="U61"/>
      <c r="V61"/>
      <c r="W61"/>
      <c r="X61"/>
      <c r="Y61"/>
    </row>
    <row r="62" spans="20:25" s="49" customFormat="1" ht="12.75">
      <c r="T62"/>
      <c r="U62"/>
      <c r="V62"/>
      <c r="W62"/>
      <c r="X62"/>
      <c r="Y62"/>
    </row>
    <row r="63" spans="20:25" s="49" customFormat="1" ht="12.75">
      <c r="T63"/>
      <c r="U63"/>
      <c r="V63"/>
      <c r="W63"/>
      <c r="X63"/>
      <c r="Y63"/>
    </row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  <row r="92" s="49" customFormat="1" ht="12.75"/>
    <row r="93" s="49" customFormat="1" ht="12.75"/>
    <row r="94" s="49" customFormat="1" ht="12.75"/>
    <row r="95" s="49" customFormat="1" ht="12.75"/>
    <row r="96" s="49" customFormat="1" ht="12.75"/>
    <row r="97" s="49" customFormat="1" ht="12.75"/>
    <row r="98" s="49" customFormat="1" ht="12.75"/>
    <row r="99" s="49" customFormat="1" ht="12.75"/>
    <row r="100" s="49" customFormat="1" ht="12.75"/>
    <row r="101" s="49" customFormat="1" ht="12.75"/>
    <row r="102" s="49" customFormat="1" ht="12.75"/>
    <row r="103" s="49" customFormat="1" ht="12.75"/>
    <row r="104" s="49" customFormat="1" ht="12.75"/>
    <row r="105" s="49" customFormat="1" ht="12.75"/>
    <row r="106" s="49" customFormat="1" ht="12.75"/>
    <row r="107" s="49" customFormat="1" ht="12.75"/>
    <row r="108" s="49" customFormat="1" ht="12.75"/>
    <row r="109" s="49" customFormat="1" ht="12.75"/>
    <row r="110" s="49" customFormat="1" ht="12.75"/>
    <row r="111" s="49" customFormat="1" ht="12.75"/>
    <row r="112" s="49" customFormat="1" ht="12.75"/>
    <row r="113" s="49" customFormat="1" ht="12.75"/>
    <row r="114" s="49" customFormat="1" ht="12.75"/>
    <row r="115" s="49" customFormat="1" ht="12.75"/>
    <row r="116" s="49" customFormat="1" ht="12.75"/>
    <row r="117" s="49" customFormat="1" ht="12.75"/>
    <row r="118" s="49" customFormat="1" ht="12.75"/>
    <row r="119" s="49" customFormat="1" ht="12.75"/>
    <row r="120" s="49" customFormat="1" ht="12.75"/>
    <row r="121" s="49" customFormat="1" ht="12.75"/>
    <row r="122" s="49" customFormat="1" ht="12.75"/>
    <row r="123" s="49" customFormat="1" ht="12.75"/>
    <row r="124" s="49" customFormat="1" ht="12.75"/>
    <row r="125" s="49" customFormat="1" ht="12.75"/>
    <row r="126" s="49" customFormat="1" ht="12.75"/>
    <row r="127" s="49" customFormat="1" ht="12.75"/>
    <row r="128" s="49" customFormat="1" ht="12.75"/>
    <row r="129" s="49" customFormat="1" ht="12.75"/>
    <row r="130" s="49" customFormat="1" ht="12.75"/>
    <row r="131" s="49" customFormat="1" ht="12.75"/>
    <row r="132" s="49" customFormat="1" ht="12.75"/>
    <row r="133" s="49" customFormat="1" ht="12.75"/>
    <row r="134" s="49" customFormat="1" ht="12.75"/>
    <row r="135" s="49" customFormat="1" ht="12.75"/>
    <row r="136" s="49" customFormat="1" ht="12.75"/>
  </sheetData>
  <sheetProtection password="CC03" sheet="1" objects="1" scenarios="1" formatRows="0" selectLockedCells="1"/>
  <mergeCells count="51">
    <mergeCell ref="H29:J29"/>
    <mergeCell ref="A38:J38"/>
    <mergeCell ref="A33:G33"/>
    <mergeCell ref="A26:J26"/>
    <mergeCell ref="E31:J31"/>
    <mergeCell ref="C29:D29"/>
    <mergeCell ref="C3:E3"/>
    <mergeCell ref="B11:D11"/>
    <mergeCell ref="B17:D17"/>
    <mergeCell ref="A7:D7"/>
    <mergeCell ref="G9:H9"/>
    <mergeCell ref="B5:D5"/>
    <mergeCell ref="B9:C9"/>
    <mergeCell ref="C2:E2"/>
    <mergeCell ref="E49:G49"/>
    <mergeCell ref="E24:J24"/>
    <mergeCell ref="A25:J25"/>
    <mergeCell ref="A24:D24"/>
    <mergeCell ref="A45:B45"/>
    <mergeCell ref="A40:F40"/>
    <mergeCell ref="A47:G47"/>
    <mergeCell ref="A1:B1"/>
    <mergeCell ref="H48:J48"/>
    <mergeCell ref="F5:H7"/>
    <mergeCell ref="A2:B2"/>
    <mergeCell ref="A22:J22"/>
    <mergeCell ref="G11:H11"/>
    <mergeCell ref="F1:G3"/>
    <mergeCell ref="I3:J3"/>
    <mergeCell ref="B13:J13"/>
    <mergeCell ref="F15:J15"/>
    <mergeCell ref="F39:J39"/>
    <mergeCell ref="H2:J2"/>
    <mergeCell ref="A46:I46"/>
    <mergeCell ref="H35:J35"/>
    <mergeCell ref="I1:J1"/>
    <mergeCell ref="E19:J19"/>
    <mergeCell ref="H33:J33"/>
    <mergeCell ref="A21:J21"/>
    <mergeCell ref="E29:F29"/>
    <mergeCell ref="A35:F35"/>
    <mergeCell ref="H36:J36"/>
    <mergeCell ref="E20:J20"/>
    <mergeCell ref="B39:E39"/>
    <mergeCell ref="B15:D15"/>
    <mergeCell ref="A27:J27"/>
    <mergeCell ref="A48:F48"/>
    <mergeCell ref="F43:J43"/>
    <mergeCell ref="A36:F36"/>
    <mergeCell ref="F42:J42"/>
    <mergeCell ref="G40:J40"/>
  </mergeCells>
  <conditionalFormatting sqref="B11:D11 B9 D9">
    <cfRule type="cellIs" priority="1" dxfId="66" operator="equal" stopIfTrue="1">
      <formula>0</formula>
    </cfRule>
  </conditionalFormatting>
  <conditionalFormatting sqref="K45">
    <cfRule type="expression" priority="2" dxfId="67" stopIfTrue="1">
      <formula>OR($J$54&gt;0,$J$56&gt;0,$K$44&gt;0,$K$34&gt;0,$J$25&gt;0,$J$26&gt;0)</formula>
    </cfRule>
    <cfRule type="expression" priority="3" dxfId="65" stopIfTrue="1">
      <formula>AND($J$24&lt;9,$J$27&lt;9)</formula>
    </cfRule>
  </conditionalFormatting>
  <conditionalFormatting sqref="J5 J7 J9 J11">
    <cfRule type="cellIs" priority="4" dxfId="65" operator="equal" stopIfTrue="1">
      <formula>0</formula>
    </cfRule>
  </conditionalFormatting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90"/>
  <sheetViews>
    <sheetView zoomScalePageLayoutView="0" workbookViewId="0" topLeftCell="A7">
      <selection activeCell="A19" sqref="A19:D19"/>
    </sheetView>
  </sheetViews>
  <sheetFormatPr defaultColWidth="9.00390625" defaultRowHeight="12.75"/>
  <cols>
    <col min="1" max="1" width="25.00390625" style="16" customWidth="1"/>
    <col min="2" max="2" width="23.00390625" style="17" customWidth="1"/>
    <col min="3" max="3" width="23.25390625" style="16" customWidth="1"/>
    <col min="4" max="4" width="40.25390625" style="16" customWidth="1"/>
    <col min="5" max="12" width="9.125" style="382" customWidth="1"/>
    <col min="13" max="13" width="9.125" style="82" customWidth="1"/>
    <col min="14" max="16384" width="9.125" style="16" customWidth="1"/>
  </cols>
  <sheetData>
    <row r="1" spans="1:10" ht="61.5" customHeight="1" thickBot="1">
      <c r="A1" s="375"/>
      <c r="B1" s="376"/>
      <c r="C1" s="769" t="s">
        <v>1032</v>
      </c>
      <c r="D1" s="769"/>
      <c r="F1" s="774" t="s">
        <v>746</v>
      </c>
      <c r="G1" s="775"/>
      <c r="H1" s="775"/>
      <c r="I1" s="775"/>
      <c r="J1" s="776"/>
    </row>
    <row r="2" spans="1:10" ht="30" customHeight="1">
      <c r="A2" s="783" t="s">
        <v>591</v>
      </c>
      <c r="B2" s="783"/>
      <c r="C2" s="783"/>
      <c r="D2" s="783"/>
      <c r="F2" s="777"/>
      <c r="G2" s="778"/>
      <c r="H2" s="778"/>
      <c r="I2" s="778"/>
      <c r="J2" s="779"/>
    </row>
    <row r="3" spans="1:10" ht="46.5" customHeight="1">
      <c r="A3" s="363" t="s">
        <v>243</v>
      </c>
      <c r="B3" s="785" t="s">
        <v>1110</v>
      </c>
      <c r="C3" s="785"/>
      <c r="D3" s="785"/>
      <c r="F3" s="777"/>
      <c r="G3" s="778"/>
      <c r="H3" s="778"/>
      <c r="I3" s="778"/>
      <c r="J3" s="779"/>
    </row>
    <row r="4" spans="1:10" ht="30" customHeight="1">
      <c r="A4" s="363" t="s">
        <v>244</v>
      </c>
      <c r="B4" s="771" t="s">
        <v>1110</v>
      </c>
      <c r="C4" s="771"/>
      <c r="D4" s="771"/>
      <c r="F4" s="777"/>
      <c r="G4" s="778"/>
      <c r="H4" s="778"/>
      <c r="I4" s="778"/>
      <c r="J4" s="779"/>
    </row>
    <row r="5" spans="1:10" ht="46.5" customHeight="1">
      <c r="A5" s="363" t="s">
        <v>547</v>
      </c>
      <c r="B5" s="771" t="s">
        <v>1111</v>
      </c>
      <c r="C5" s="771"/>
      <c r="D5" s="771"/>
      <c r="F5" s="777"/>
      <c r="G5" s="778"/>
      <c r="H5" s="778"/>
      <c r="I5" s="778"/>
      <c r="J5" s="779"/>
    </row>
    <row r="6" spans="1:10" ht="53.25" customHeight="1">
      <c r="A6" s="363" t="s">
        <v>72</v>
      </c>
      <c r="B6" s="588" t="s">
        <v>1113</v>
      </c>
      <c r="C6" s="588"/>
      <c r="D6" s="588"/>
      <c r="F6" s="777"/>
      <c r="G6" s="778"/>
      <c r="H6" s="778"/>
      <c r="I6" s="778"/>
      <c r="J6" s="779"/>
    </row>
    <row r="7" spans="1:10" ht="30" customHeight="1">
      <c r="A7" s="363" t="s">
        <v>230</v>
      </c>
      <c r="B7" s="771" t="s">
        <v>1112</v>
      </c>
      <c r="C7" s="771"/>
      <c r="D7" s="771"/>
      <c r="F7" s="777"/>
      <c r="G7" s="778"/>
      <c r="H7" s="778"/>
      <c r="I7" s="778"/>
      <c r="J7" s="779"/>
    </row>
    <row r="8" spans="1:10" ht="52.5" customHeight="1">
      <c r="A8" s="363" t="s">
        <v>71</v>
      </c>
      <c r="B8" s="588" t="s">
        <v>61</v>
      </c>
      <c r="C8" s="588"/>
      <c r="D8" s="588"/>
      <c r="F8" s="777"/>
      <c r="G8" s="778"/>
      <c r="H8" s="778"/>
      <c r="I8" s="778"/>
      <c r="J8" s="779"/>
    </row>
    <row r="9" spans="1:10" ht="15.75" customHeight="1">
      <c r="A9" s="18" t="s">
        <v>953</v>
      </c>
      <c r="B9" s="772" t="s">
        <v>1115</v>
      </c>
      <c r="C9" s="772"/>
      <c r="D9" s="772"/>
      <c r="F9" s="777"/>
      <c r="G9" s="778"/>
      <c r="H9" s="778"/>
      <c r="I9" s="778"/>
      <c r="J9" s="779"/>
    </row>
    <row r="10" spans="1:10" ht="15.75" customHeight="1">
      <c r="A10" s="18" t="s">
        <v>954</v>
      </c>
      <c r="B10" s="773" t="s">
        <v>1114</v>
      </c>
      <c r="C10" s="773"/>
      <c r="D10" s="773"/>
      <c r="F10" s="777"/>
      <c r="G10" s="778"/>
      <c r="H10" s="778"/>
      <c r="I10" s="778"/>
      <c r="J10" s="779"/>
    </row>
    <row r="11" spans="1:10" ht="15.75" customHeight="1">
      <c r="A11" s="18" t="s">
        <v>387</v>
      </c>
      <c r="B11" s="767" t="s">
        <v>1114</v>
      </c>
      <c r="C11" s="767"/>
      <c r="D11" s="767"/>
      <c r="F11" s="777"/>
      <c r="G11" s="778"/>
      <c r="H11" s="778"/>
      <c r="I11" s="778"/>
      <c r="J11" s="779"/>
    </row>
    <row r="12" spans="1:10" ht="15.75" customHeight="1">
      <c r="A12" s="18" t="s">
        <v>388</v>
      </c>
      <c r="B12" s="411" t="s">
        <v>1116</v>
      </c>
      <c r="C12" s="18" t="s">
        <v>389</v>
      </c>
      <c r="D12" s="411" t="s">
        <v>1117</v>
      </c>
      <c r="F12" s="777"/>
      <c r="G12" s="778"/>
      <c r="H12" s="778"/>
      <c r="I12" s="778"/>
      <c r="J12" s="779"/>
    </row>
    <row r="13" spans="1:10" ht="15.75" customHeight="1">
      <c r="A13" s="18" t="s">
        <v>432</v>
      </c>
      <c r="B13" s="411" t="s">
        <v>1118</v>
      </c>
      <c r="C13" s="18" t="s">
        <v>433</v>
      </c>
      <c r="D13" s="411" t="s">
        <v>561</v>
      </c>
      <c r="F13" s="777"/>
      <c r="G13" s="778"/>
      <c r="H13" s="778"/>
      <c r="I13" s="778"/>
      <c r="J13" s="779"/>
    </row>
    <row r="14" spans="1:10" ht="15.75" customHeight="1">
      <c r="A14" s="18" t="s">
        <v>434</v>
      </c>
      <c r="B14" s="784" t="s">
        <v>1119</v>
      </c>
      <c r="C14" s="784"/>
      <c r="D14" s="784"/>
      <c r="F14" s="777"/>
      <c r="G14" s="778"/>
      <c r="H14" s="778"/>
      <c r="I14" s="778"/>
      <c r="J14" s="779"/>
    </row>
    <row r="15" spans="1:10" ht="15.75" customHeight="1">
      <c r="A15" s="18" t="s">
        <v>390</v>
      </c>
      <c r="B15" s="400" t="s">
        <v>1120</v>
      </c>
      <c r="C15" s="18" t="s">
        <v>391</v>
      </c>
      <c r="D15" s="400" t="s">
        <v>1121</v>
      </c>
      <c r="F15" s="777"/>
      <c r="G15" s="778"/>
      <c r="H15" s="778"/>
      <c r="I15" s="778"/>
      <c r="J15" s="779"/>
    </row>
    <row r="16" spans="1:10" ht="15.75" customHeight="1">
      <c r="A16" s="19" t="s">
        <v>563</v>
      </c>
      <c r="B16" s="412" t="s">
        <v>1122</v>
      </c>
      <c r="C16" s="18" t="s">
        <v>435</v>
      </c>
      <c r="D16" s="411" t="s">
        <v>1071</v>
      </c>
      <c r="F16" s="777"/>
      <c r="G16" s="778"/>
      <c r="H16" s="778"/>
      <c r="I16" s="778"/>
      <c r="J16" s="779"/>
    </row>
    <row r="17" spans="1:10" ht="15.75" customHeight="1">
      <c r="A17" s="18" t="s">
        <v>392</v>
      </c>
      <c r="B17" s="770" t="s">
        <v>1134</v>
      </c>
      <c r="C17" s="770"/>
      <c r="D17" s="770"/>
      <c r="F17" s="777"/>
      <c r="G17" s="778"/>
      <c r="H17" s="778"/>
      <c r="I17" s="778"/>
      <c r="J17" s="779"/>
    </row>
    <row r="18" spans="1:10" ht="13.5" customHeight="1">
      <c r="A18" s="82"/>
      <c r="B18" s="85"/>
      <c r="C18" s="365" t="s">
        <v>393</v>
      </c>
      <c r="D18" s="82"/>
      <c r="F18" s="777"/>
      <c r="G18" s="778"/>
      <c r="H18" s="778"/>
      <c r="I18" s="778"/>
      <c r="J18" s="779"/>
    </row>
    <row r="19" spans="1:10" ht="15.75" customHeight="1">
      <c r="A19" s="770" t="s">
        <v>1135</v>
      </c>
      <c r="B19" s="770"/>
      <c r="C19" s="770"/>
      <c r="D19" s="770"/>
      <c r="F19" s="777"/>
      <c r="G19" s="778"/>
      <c r="H19" s="778"/>
      <c r="I19" s="778"/>
      <c r="J19" s="779"/>
    </row>
    <row r="20" spans="1:10" ht="13.5" customHeight="1">
      <c r="A20" s="86"/>
      <c r="B20" s="87"/>
      <c r="C20" s="364" t="s">
        <v>394</v>
      </c>
      <c r="D20" s="86"/>
      <c r="F20" s="777"/>
      <c r="G20" s="778"/>
      <c r="H20" s="778"/>
      <c r="I20" s="778"/>
      <c r="J20" s="779"/>
    </row>
    <row r="21" spans="1:10" ht="15.75" customHeight="1">
      <c r="A21" s="18" t="s">
        <v>395</v>
      </c>
      <c r="B21" s="413" t="s">
        <v>1128</v>
      </c>
      <c r="C21" s="18" t="s">
        <v>396</v>
      </c>
      <c r="D21" s="413" t="s">
        <v>1129</v>
      </c>
      <c r="F21" s="777"/>
      <c r="G21" s="778"/>
      <c r="H21" s="778"/>
      <c r="I21" s="778"/>
      <c r="J21" s="779"/>
    </row>
    <row r="22" spans="1:10" ht="15.75" customHeight="1">
      <c r="A22" s="18" t="s">
        <v>397</v>
      </c>
      <c r="B22" s="414" t="s">
        <v>1126</v>
      </c>
      <c r="C22" s="20" t="s">
        <v>398</v>
      </c>
      <c r="D22" s="458" t="s">
        <v>1127</v>
      </c>
      <c r="F22" s="777"/>
      <c r="G22" s="778"/>
      <c r="H22" s="778"/>
      <c r="I22" s="778"/>
      <c r="J22" s="779"/>
    </row>
    <row r="23" spans="1:10" ht="27" customHeight="1">
      <c r="A23" s="18" t="s">
        <v>399</v>
      </c>
      <c r="B23" s="18"/>
      <c r="C23" s="768" t="s">
        <v>1125</v>
      </c>
      <c r="D23" s="768"/>
      <c r="F23" s="777"/>
      <c r="G23" s="778"/>
      <c r="H23" s="778"/>
      <c r="I23" s="778"/>
      <c r="J23" s="779"/>
    </row>
    <row r="24" spans="1:10" ht="12.75" customHeight="1">
      <c r="A24" s="82"/>
      <c r="B24" s="85"/>
      <c r="C24" s="365" t="s">
        <v>393</v>
      </c>
      <c r="D24" s="88"/>
      <c r="F24" s="777"/>
      <c r="G24" s="778"/>
      <c r="H24" s="778"/>
      <c r="I24" s="778"/>
      <c r="J24" s="779"/>
    </row>
    <row r="25" spans="1:10" ht="15.75" customHeight="1">
      <c r="A25" s="770" t="s">
        <v>1124</v>
      </c>
      <c r="B25" s="770"/>
      <c r="C25" s="770"/>
      <c r="D25" s="770"/>
      <c r="F25" s="777"/>
      <c r="G25" s="778"/>
      <c r="H25" s="778"/>
      <c r="I25" s="778"/>
      <c r="J25" s="779"/>
    </row>
    <row r="26" spans="1:10" ht="13.5" customHeight="1">
      <c r="A26" s="86"/>
      <c r="B26" s="87"/>
      <c r="C26" s="364" t="s">
        <v>394</v>
      </c>
      <c r="D26" s="86"/>
      <c r="F26" s="780"/>
      <c r="G26" s="781"/>
      <c r="H26" s="781"/>
      <c r="I26" s="781"/>
      <c r="J26" s="782"/>
    </row>
    <row r="27" spans="1:4" ht="15.75" customHeight="1">
      <c r="A27" s="18" t="s">
        <v>395</v>
      </c>
      <c r="B27" s="413" t="s">
        <v>1130</v>
      </c>
      <c r="C27" s="18" t="s">
        <v>396</v>
      </c>
      <c r="D27" s="413" t="s">
        <v>1129</v>
      </c>
    </row>
    <row r="28" spans="1:8" ht="15.75" customHeight="1">
      <c r="A28" s="18" t="s">
        <v>397</v>
      </c>
      <c r="B28" s="399" t="s">
        <v>1131</v>
      </c>
      <c r="C28" s="93"/>
      <c r="D28" s="93"/>
      <c r="H28" s="383" t="s">
        <v>817</v>
      </c>
    </row>
    <row r="29" spans="1:10" ht="15.75" customHeight="1">
      <c r="A29" s="509" t="s">
        <v>699</v>
      </c>
      <c r="B29" s="508"/>
      <c r="C29" s="507"/>
      <c r="D29" s="507"/>
      <c r="H29" s="506"/>
      <c r="I29" s="393"/>
      <c r="J29" s="393"/>
    </row>
    <row r="30" spans="1:8" ht="15.75" customHeight="1">
      <c r="A30" s="761" t="s">
        <v>1123</v>
      </c>
      <c r="B30" s="762"/>
      <c r="C30" s="762"/>
      <c r="D30" s="762"/>
      <c r="H30" s="576" t="s">
        <v>1033</v>
      </c>
    </row>
    <row r="31" spans="1:8" ht="15.75" customHeight="1">
      <c r="A31" s="762"/>
      <c r="B31" s="762"/>
      <c r="C31" s="762"/>
      <c r="D31" s="762"/>
      <c r="H31" s="384"/>
    </row>
    <row r="32" spans="1:8" ht="15.75" customHeight="1">
      <c r="A32" s="762"/>
      <c r="B32" s="762"/>
      <c r="C32" s="762"/>
      <c r="D32" s="762"/>
      <c r="H32" s="505" t="s">
        <v>1034</v>
      </c>
    </row>
    <row r="33" spans="1:8" ht="15.75" customHeight="1">
      <c r="A33" s="762"/>
      <c r="B33" s="762"/>
      <c r="C33" s="762"/>
      <c r="D33" s="762"/>
      <c r="H33" s="505"/>
    </row>
    <row r="34" spans="1:8" ht="15.75" customHeight="1">
      <c r="A34" s="762"/>
      <c r="B34" s="762"/>
      <c r="C34" s="762"/>
      <c r="D34" s="762"/>
      <c r="H34" s="440"/>
    </row>
    <row r="35" spans="1:4" ht="15" customHeight="1">
      <c r="A35" s="765" t="s">
        <v>118</v>
      </c>
      <c r="B35" s="764"/>
      <c r="C35" s="764"/>
      <c r="D35" s="764"/>
    </row>
    <row r="36" spans="1:11" ht="15" customHeight="1">
      <c r="A36" s="89" t="s">
        <v>595</v>
      </c>
      <c r="B36" s="683" t="str">
        <f>CONCATENATE('содержание '!C100)</f>
        <v>info@Armhitec.com</v>
      </c>
      <c r="C36" s="83"/>
      <c r="D36" s="83"/>
      <c r="K36" s="393"/>
    </row>
    <row r="37" spans="1:3" ht="15" customHeight="1">
      <c r="A37" s="765" t="s">
        <v>117</v>
      </c>
      <c r="B37" s="765"/>
      <c r="C37" s="683" t="str">
        <f>CONCATENATE('содержание '!C93)</f>
        <v>1 сентября 2016 года</v>
      </c>
    </row>
    <row r="38" spans="1:8" ht="15" customHeight="1">
      <c r="A38" s="765" t="s">
        <v>1102</v>
      </c>
      <c r="B38" s="764"/>
      <c r="C38" s="764"/>
      <c r="D38" s="764"/>
      <c r="H38" s="384"/>
    </row>
    <row r="39" spans="1:10" ht="15" customHeight="1">
      <c r="A39" s="684" t="str">
        <f>'содержание '!C79&amp;"."</f>
        <v>ArmHiTec-2016.</v>
      </c>
      <c r="B39" s="766" t="s">
        <v>321</v>
      </c>
      <c r="C39" s="766"/>
      <c r="D39" s="766"/>
      <c r="H39" s="385"/>
      <c r="I39" s="384"/>
      <c r="J39" s="384"/>
    </row>
    <row r="40" spans="1:10" ht="15" customHeight="1">
      <c r="A40" s="90" t="s">
        <v>698</v>
      </c>
      <c r="B40" s="90"/>
      <c r="C40" s="83"/>
      <c r="D40" s="83"/>
      <c r="F40" s="384"/>
      <c r="G40" s="384"/>
      <c r="I40" s="385"/>
      <c r="J40" s="385"/>
    </row>
    <row r="41" spans="1:7" ht="15" customHeight="1">
      <c r="A41" s="82" t="s">
        <v>27</v>
      </c>
      <c r="B41" s="82"/>
      <c r="C41" s="82"/>
      <c r="D41" s="82"/>
      <c r="F41" s="385"/>
      <c r="G41" s="385"/>
    </row>
    <row r="42" spans="1:4" ht="15" customHeight="1">
      <c r="A42" s="91" t="s">
        <v>566</v>
      </c>
      <c r="B42" s="82"/>
      <c r="C42" s="147" t="s">
        <v>119</v>
      </c>
      <c r="D42" s="82" t="str">
        <f>CONCATENATE('содержание '!C103)</f>
        <v>40702810538000062287</v>
      </c>
    </row>
    <row r="43" spans="1:4" ht="15" customHeight="1">
      <c r="A43" s="91" t="s">
        <v>1035</v>
      </c>
      <c r="B43" s="82"/>
      <c r="C43" s="92"/>
      <c r="D43" s="82"/>
    </row>
    <row r="44" spans="1:4" ht="15" customHeight="1">
      <c r="A44" s="765" t="s">
        <v>778</v>
      </c>
      <c r="B44" s="765"/>
      <c r="C44" s="765"/>
      <c r="D44" s="765"/>
    </row>
    <row r="45" spans="1:4" ht="15" customHeight="1">
      <c r="A45" s="84" t="s">
        <v>880</v>
      </c>
      <c r="B45" s="84"/>
      <c r="C45" s="84"/>
      <c r="D45" s="685" t="str">
        <f>CONCATENATE('содержание '!C80)</f>
        <v>www.Armhitec.com </v>
      </c>
    </row>
    <row r="46" spans="1:12" s="83" customFormat="1" ht="4.5" customHeight="1">
      <c r="A46" s="765"/>
      <c r="B46" s="764"/>
      <c r="C46" s="764"/>
      <c r="D46" s="764"/>
      <c r="E46" s="384"/>
      <c r="F46" s="382"/>
      <c r="G46" s="382"/>
      <c r="H46" s="382"/>
      <c r="I46" s="382"/>
      <c r="J46" s="382"/>
      <c r="K46" s="384"/>
      <c r="L46" s="384"/>
    </row>
    <row r="47" spans="1:12" s="84" customFormat="1" ht="48" customHeight="1">
      <c r="A47" s="763" t="s">
        <v>224</v>
      </c>
      <c r="B47" s="764"/>
      <c r="C47" s="764"/>
      <c r="D47" s="764"/>
      <c r="E47" s="385"/>
      <c r="F47" s="382"/>
      <c r="G47" s="382"/>
      <c r="H47" s="382"/>
      <c r="I47" s="382"/>
      <c r="J47" s="382"/>
      <c r="K47" s="385"/>
      <c r="L47" s="385"/>
    </row>
    <row r="48" spans="1:4" ht="16.5">
      <c r="A48" s="82"/>
      <c r="B48" s="85"/>
      <c r="C48" s="82"/>
      <c r="D48" s="82"/>
    </row>
    <row r="49" spans="1:4" ht="16.5">
      <c r="A49" s="82"/>
      <c r="B49" s="85"/>
      <c r="C49" s="82"/>
      <c r="D49" s="82"/>
    </row>
    <row r="50" spans="1:4" ht="16.5">
      <c r="A50" s="82"/>
      <c r="B50" s="85"/>
      <c r="C50" s="82"/>
      <c r="D50" s="82"/>
    </row>
    <row r="51" spans="1:4" ht="16.5">
      <c r="A51" s="82"/>
      <c r="B51" s="85"/>
      <c r="C51" s="82"/>
      <c r="D51" s="82"/>
    </row>
    <row r="52" spans="1:4" ht="16.5">
      <c r="A52" s="82"/>
      <c r="B52" s="85"/>
      <c r="C52" s="82"/>
      <c r="D52" s="82"/>
    </row>
    <row r="53" spans="1:4" ht="16.5">
      <c r="A53" s="82"/>
      <c r="B53" s="85"/>
      <c r="C53" s="82"/>
      <c r="D53" s="82"/>
    </row>
    <row r="54" spans="1:4" ht="16.5">
      <c r="A54" s="82"/>
      <c r="B54" s="85"/>
      <c r="C54" s="82"/>
      <c r="D54" s="82"/>
    </row>
    <row r="55" spans="1:4" ht="16.5">
      <c r="A55" s="82"/>
      <c r="B55" s="85"/>
      <c r="C55" s="82"/>
      <c r="D55" s="82"/>
    </row>
    <row r="56" spans="1:4" ht="16.5">
      <c r="A56" s="82"/>
      <c r="B56" s="85"/>
      <c r="C56" s="82"/>
      <c r="D56" s="82"/>
    </row>
    <row r="57" spans="1:4" ht="16.5">
      <c r="A57" s="82"/>
      <c r="B57" s="85"/>
      <c r="C57" s="82"/>
      <c r="D57" s="82"/>
    </row>
    <row r="58" spans="1:4" ht="16.5">
      <c r="A58" s="82"/>
      <c r="B58" s="85"/>
      <c r="C58" s="82"/>
      <c r="D58" s="82"/>
    </row>
    <row r="59" spans="1:4" ht="16.5">
      <c r="A59" s="82"/>
      <c r="B59" s="85"/>
      <c r="C59" s="82"/>
      <c r="D59" s="82"/>
    </row>
    <row r="60" spans="1:4" ht="16.5">
      <c r="A60" s="82"/>
      <c r="B60" s="85"/>
      <c r="C60" s="82"/>
      <c r="D60" s="82"/>
    </row>
    <row r="61" spans="1:4" ht="16.5">
      <c r="A61" s="82"/>
      <c r="B61" s="85"/>
      <c r="C61" s="82"/>
      <c r="D61" s="82"/>
    </row>
    <row r="62" spans="1:4" ht="16.5">
      <c r="A62" s="82"/>
      <c r="B62" s="85"/>
      <c r="C62" s="82"/>
      <c r="D62" s="82"/>
    </row>
    <row r="63" spans="1:4" ht="16.5">
      <c r="A63" s="82"/>
      <c r="B63" s="85"/>
      <c r="C63" s="82"/>
      <c r="D63" s="82"/>
    </row>
    <row r="64" spans="1:4" ht="16.5">
      <c r="A64" s="82"/>
      <c r="B64" s="85"/>
      <c r="C64" s="82"/>
      <c r="D64" s="82"/>
    </row>
    <row r="65" spans="1:4" ht="16.5">
      <c r="A65" s="82"/>
      <c r="B65" s="85"/>
      <c r="C65" s="82"/>
      <c r="D65" s="82"/>
    </row>
    <row r="66" spans="1:4" ht="16.5">
      <c r="A66" s="82"/>
      <c r="B66" s="85"/>
      <c r="C66" s="82"/>
      <c r="D66" s="82"/>
    </row>
    <row r="67" spans="1:4" ht="16.5">
      <c r="A67" s="82"/>
      <c r="B67" s="85"/>
      <c r="C67" s="82"/>
      <c r="D67" s="82"/>
    </row>
    <row r="68" spans="1:4" ht="16.5">
      <c r="A68" s="82"/>
      <c r="B68" s="85"/>
      <c r="C68" s="82"/>
      <c r="D68" s="82"/>
    </row>
    <row r="69" spans="1:4" ht="16.5">
      <c r="A69" s="82"/>
      <c r="B69" s="85"/>
      <c r="C69" s="82"/>
      <c r="D69" s="82"/>
    </row>
    <row r="70" spans="1:4" ht="16.5">
      <c r="A70" s="82"/>
      <c r="B70" s="85"/>
      <c r="C70" s="82"/>
      <c r="D70" s="82"/>
    </row>
    <row r="71" spans="1:4" ht="16.5">
      <c r="A71" s="82"/>
      <c r="B71" s="85"/>
      <c r="C71" s="82"/>
      <c r="D71" s="82"/>
    </row>
    <row r="72" spans="1:4" ht="16.5">
      <c r="A72" s="82"/>
      <c r="B72" s="85"/>
      <c r="C72" s="82"/>
      <c r="D72" s="82"/>
    </row>
    <row r="73" spans="1:4" ht="16.5">
      <c r="A73" s="82"/>
      <c r="B73" s="85"/>
      <c r="C73" s="82"/>
      <c r="D73" s="82"/>
    </row>
    <row r="74" spans="1:4" ht="16.5">
      <c r="A74" s="82"/>
      <c r="B74" s="85"/>
      <c r="C74" s="82"/>
      <c r="D74" s="82"/>
    </row>
    <row r="75" spans="1:4" ht="16.5">
      <c r="A75" s="82"/>
      <c r="B75" s="85"/>
      <c r="C75" s="82"/>
      <c r="D75" s="82"/>
    </row>
    <row r="76" spans="1:4" ht="16.5">
      <c r="A76" s="82"/>
      <c r="B76" s="85"/>
      <c r="C76" s="82"/>
      <c r="D76" s="82"/>
    </row>
    <row r="77" spans="1:4" ht="16.5">
      <c r="A77" s="82"/>
      <c r="B77" s="85"/>
      <c r="C77" s="82"/>
      <c r="D77" s="82"/>
    </row>
    <row r="78" spans="1:4" ht="16.5">
      <c r="A78" s="82"/>
      <c r="B78" s="85"/>
      <c r="C78" s="82"/>
      <c r="D78" s="82"/>
    </row>
    <row r="79" spans="1:4" ht="16.5">
      <c r="A79" s="82"/>
      <c r="B79" s="85"/>
      <c r="C79" s="82"/>
      <c r="D79" s="82"/>
    </row>
    <row r="80" spans="1:4" ht="16.5">
      <c r="A80" s="82"/>
      <c r="B80" s="85"/>
      <c r="C80" s="82"/>
      <c r="D80" s="82"/>
    </row>
    <row r="81" spans="1:4" ht="16.5">
      <c r="A81" s="82"/>
      <c r="B81" s="85"/>
      <c r="C81" s="82"/>
      <c r="D81" s="82"/>
    </row>
    <row r="82" spans="1:4" ht="16.5">
      <c r="A82" s="82"/>
      <c r="B82" s="85"/>
      <c r="C82" s="82"/>
      <c r="D82" s="82"/>
    </row>
    <row r="83" spans="1:4" ht="16.5">
      <c r="A83" s="82"/>
      <c r="B83" s="85"/>
      <c r="C83" s="82"/>
      <c r="D83" s="82"/>
    </row>
    <row r="84" spans="1:4" ht="16.5">
      <c r="A84" s="82"/>
      <c r="B84" s="85"/>
      <c r="C84" s="82"/>
      <c r="D84" s="82"/>
    </row>
    <row r="85" spans="1:4" ht="16.5">
      <c r="A85" s="82"/>
      <c r="B85" s="85"/>
      <c r="C85" s="82"/>
      <c r="D85" s="82"/>
    </row>
    <row r="86" spans="1:4" ht="16.5">
      <c r="A86" s="82"/>
      <c r="B86" s="85"/>
      <c r="C86" s="82"/>
      <c r="D86" s="82"/>
    </row>
    <row r="87" spans="1:4" ht="16.5">
      <c r="A87" s="82"/>
      <c r="B87" s="85"/>
      <c r="C87" s="82"/>
      <c r="D87" s="82"/>
    </row>
    <row r="88" spans="1:4" ht="16.5">
      <c r="A88" s="82"/>
      <c r="B88" s="85"/>
      <c r="C88" s="82"/>
      <c r="D88" s="82"/>
    </row>
    <row r="89" spans="1:4" ht="16.5">
      <c r="A89" s="82"/>
      <c r="B89" s="85"/>
      <c r="C89" s="82"/>
      <c r="D89" s="82"/>
    </row>
    <row r="90" spans="1:4" ht="16.5">
      <c r="A90" s="82"/>
      <c r="B90" s="85"/>
      <c r="C90" s="82"/>
      <c r="D90" s="82"/>
    </row>
  </sheetData>
  <sheetProtection password="CC03" sheet="1" formatCells="0" selectLockedCells="1"/>
  <mergeCells count="23">
    <mergeCell ref="F1:J26"/>
    <mergeCell ref="A46:D46"/>
    <mergeCell ref="A37:B37"/>
    <mergeCell ref="A25:D25"/>
    <mergeCell ref="A35:D35"/>
    <mergeCell ref="B5:D5"/>
    <mergeCell ref="A19:D19"/>
    <mergeCell ref="A2:D2"/>
    <mergeCell ref="B14:D14"/>
    <mergeCell ref="B3:D3"/>
    <mergeCell ref="C1:D1"/>
    <mergeCell ref="B17:D17"/>
    <mergeCell ref="B4:D4"/>
    <mergeCell ref="B9:D9"/>
    <mergeCell ref="B10:D10"/>
    <mergeCell ref="B7:D7"/>
    <mergeCell ref="A30:D34"/>
    <mergeCell ref="A47:D47"/>
    <mergeCell ref="A44:D44"/>
    <mergeCell ref="B39:D39"/>
    <mergeCell ref="A38:D38"/>
    <mergeCell ref="B11:D11"/>
    <mergeCell ref="C23:D23"/>
  </mergeCells>
  <conditionalFormatting sqref="B3:D11 B12:B13 D12:D13 B14:D14 B15:B16 D15:D16 B17:D17 A19:D19 B21:B22 D21:D22 C23:D23 A25:D25 D27 B27:B29">
    <cfRule type="cellIs" priority="1" dxfId="67" operator="notEqual" stopIfTrue="1">
      <formula>0</formula>
    </cfRule>
  </conditionalFormatting>
  <hyperlinks>
    <hyperlink ref="H32" r:id="rId1" display="lebedeva@b95.ru"/>
  </hyperlinks>
  <printOptions/>
  <pageMargins left="1.1811023622047245" right="0.3937007874015748" top="0.5905511811023623" bottom="0.5905511811023623" header="0.3937007874015748" footer="0.5118110236220472"/>
  <pageSetup fitToHeight="1" fitToWidth="1" horizontalDpi="600" verticalDpi="600" orientation="portrait" paperSize="9" scale="78" r:id="rId2"/>
  <headerFooter alignWithMargins="0">
    <oddHeader>&amp;RСтраница 1 из 2</oddHeader>
    <oddFooter>&amp;L&amp;12    &amp;10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Y138"/>
  <sheetViews>
    <sheetView zoomScale="120" zoomScaleNormal="120" zoomScalePageLayoutView="0" workbookViewId="0" topLeftCell="A56">
      <selection activeCell="O73" sqref="O73"/>
    </sheetView>
  </sheetViews>
  <sheetFormatPr defaultColWidth="9.00390625" defaultRowHeight="12.75"/>
  <cols>
    <col min="1" max="1" width="3.875" style="144" customWidth="1"/>
    <col min="2" max="2" width="8.375" style="1" customWidth="1"/>
    <col min="3" max="3" width="6.75390625" style="1" customWidth="1"/>
    <col min="4" max="4" width="9.875" style="1" customWidth="1"/>
    <col min="5" max="5" width="8.625" style="1" customWidth="1"/>
    <col min="6" max="6" width="0.37109375" style="1" customWidth="1"/>
    <col min="7" max="7" width="12.00390625" style="1" customWidth="1"/>
    <col min="8" max="8" width="0.37109375" style="1" customWidth="1"/>
    <col min="9" max="9" width="14.875" style="1" customWidth="1"/>
    <col min="10" max="10" width="11.625" style="1" customWidth="1"/>
    <col min="11" max="11" width="9.00390625" style="1" customWidth="1"/>
    <col min="12" max="12" width="11.875" style="1" customWidth="1"/>
    <col min="13" max="21" width="9.125" style="6" customWidth="1"/>
    <col min="22" max="16384" width="9.125" style="7" customWidth="1"/>
  </cols>
  <sheetData>
    <row r="1" spans="2:17" ht="15" customHeight="1">
      <c r="B1" s="22"/>
      <c r="C1" s="374"/>
      <c r="D1" s="374"/>
      <c r="E1" s="812" t="str">
        <f>CONCATENATE('содержание '!C77)</f>
        <v>Международная выставка вооружения и оборонных технологий "ArmHiTec-2016"</v>
      </c>
      <c r="F1" s="812"/>
      <c r="G1" s="812"/>
      <c r="H1" s="812"/>
      <c r="I1" s="812"/>
      <c r="J1" s="812"/>
      <c r="K1" s="374"/>
      <c r="L1" s="374"/>
      <c r="N1" s="31"/>
      <c r="O1" s="7"/>
      <c r="P1" s="7"/>
      <c r="Q1" s="7"/>
    </row>
    <row r="2" spans="2:17" ht="29.25" customHeight="1" thickBot="1">
      <c r="B2" s="377"/>
      <c r="C2" s="377"/>
      <c r="D2" s="377"/>
      <c r="E2" s="813"/>
      <c r="F2" s="813"/>
      <c r="G2" s="813"/>
      <c r="H2" s="813"/>
      <c r="I2" s="813"/>
      <c r="J2" s="813"/>
      <c r="K2" s="397"/>
      <c r="L2" s="397"/>
      <c r="N2" s="31"/>
      <c r="O2" s="373"/>
      <c r="P2" s="373"/>
      <c r="Q2" s="373"/>
    </row>
    <row r="3" spans="2:17" ht="19.5" customHeight="1">
      <c r="B3" s="814" t="s">
        <v>634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N3" s="31"/>
      <c r="O3" s="373"/>
      <c r="P3" s="373"/>
      <c r="Q3" s="373"/>
    </row>
    <row r="4" spans="1:21" s="362" customFormat="1" ht="12" customHeight="1">
      <c r="A4" s="144"/>
      <c r="B4" s="816" t="s">
        <v>614</v>
      </c>
      <c r="C4" s="817"/>
      <c r="D4" s="817"/>
      <c r="E4" s="817"/>
      <c r="F4" s="817"/>
      <c r="G4" s="817"/>
      <c r="H4" s="359"/>
      <c r="I4" s="815" t="str">
        <f>CONCATENATE('содержание '!C87)</f>
        <v>с 13 по 15 октября 2016 г.</v>
      </c>
      <c r="J4" s="815"/>
      <c r="K4" s="815"/>
      <c r="L4" s="815"/>
      <c r="M4" s="360"/>
      <c r="N4" s="361"/>
      <c r="O4" s="361"/>
      <c r="P4" s="361"/>
      <c r="Q4" s="360"/>
      <c r="R4" s="360"/>
      <c r="S4" s="360"/>
      <c r="T4" s="360"/>
      <c r="U4" s="360"/>
    </row>
    <row r="5" spans="1:21" s="362" customFormat="1" ht="12" customHeight="1">
      <c r="A5" s="144"/>
      <c r="B5" s="816" t="s">
        <v>615</v>
      </c>
      <c r="C5" s="817"/>
      <c r="D5" s="817"/>
      <c r="E5" s="817"/>
      <c r="F5" s="817"/>
      <c r="G5" s="817"/>
      <c r="H5" s="359"/>
      <c r="I5" s="815" t="str">
        <f>CONCATENATE('содержание '!C82)</f>
        <v>Ереван, выставочный комплекс "ЕреванЭкспо"</v>
      </c>
      <c r="J5" s="815"/>
      <c r="K5" s="815"/>
      <c r="L5" s="815"/>
      <c r="M5" s="360"/>
      <c r="N5" s="360"/>
      <c r="O5" s="360"/>
      <c r="P5" s="360"/>
      <c r="Q5" s="360"/>
      <c r="R5" s="360"/>
      <c r="S5" s="360"/>
      <c r="T5" s="360"/>
      <c r="U5" s="360"/>
    </row>
    <row r="6" spans="1:21" s="362" customFormat="1" ht="12" customHeight="1">
      <c r="A6" s="144"/>
      <c r="B6" s="816" t="s">
        <v>671</v>
      </c>
      <c r="C6" s="817"/>
      <c r="D6" s="817"/>
      <c r="E6" s="817"/>
      <c r="F6" s="817"/>
      <c r="G6" s="817"/>
      <c r="H6" s="359"/>
      <c r="I6" s="815" t="str">
        <f>CONCATENATE('содержание '!C93)</f>
        <v>1 сентября 2016 года</v>
      </c>
      <c r="J6" s="815"/>
      <c r="K6" s="815"/>
      <c r="L6" s="815"/>
      <c r="M6" s="360"/>
      <c r="N6" s="360"/>
      <c r="O6" s="360"/>
      <c r="P6" s="360"/>
      <c r="Q6" s="360"/>
      <c r="R6" s="360"/>
      <c r="S6" s="360"/>
      <c r="T6" s="360"/>
      <c r="U6" s="360"/>
    </row>
    <row r="7" spans="1:25" s="1" customFormat="1" ht="3" customHeight="1">
      <c r="A7" s="144"/>
      <c r="B7" s="162"/>
      <c r="C7" s="162"/>
      <c r="D7" s="162"/>
      <c r="E7" s="162"/>
      <c r="F7" s="162"/>
      <c r="G7" s="287"/>
      <c r="H7" s="287"/>
      <c r="I7" s="155"/>
      <c r="J7" s="155"/>
      <c r="K7" s="155"/>
      <c r="L7" s="158"/>
      <c r="M7" s="158"/>
      <c r="N7" s="158"/>
      <c r="O7" s="158"/>
      <c r="P7" s="158"/>
      <c r="Q7" s="7"/>
      <c r="R7" s="7"/>
      <c r="S7" s="7"/>
      <c r="U7" s="7"/>
      <c r="V7" s="7"/>
      <c r="W7" s="7"/>
      <c r="X7" s="7"/>
      <c r="Y7" s="7"/>
    </row>
    <row r="8" spans="1:25" s="1" customFormat="1" ht="13.5" customHeight="1">
      <c r="A8" s="144"/>
      <c r="B8" s="721" t="s">
        <v>670</v>
      </c>
      <c r="C8" s="721"/>
      <c r="D8" s="721"/>
      <c r="E8" s="721"/>
      <c r="F8" s="164"/>
      <c r="G8" s="155" t="s">
        <v>564</v>
      </c>
      <c r="H8" s="155"/>
      <c r="I8" s="728" t="str">
        <f>CONCATENATE('Заявка стр. 1'!B4)</f>
        <v>АО "Научно-производственный центр "Вигстар"</v>
      </c>
      <c r="J8" s="728"/>
      <c r="K8" s="32" t="s">
        <v>1000</v>
      </c>
      <c r="L8" s="415"/>
      <c r="M8" s="285">
        <f>CONCATENATE('Заявка стр. 1'!B23)</f>
      </c>
      <c r="N8" s="7"/>
      <c r="O8" s="7"/>
      <c r="P8" s="7"/>
      <c r="Q8" s="7"/>
      <c r="R8" s="285"/>
      <c r="S8" s="285"/>
      <c r="T8" s="285"/>
      <c r="U8" s="285"/>
      <c r="V8" s="7"/>
      <c r="W8" s="7"/>
      <c r="X8" s="7"/>
      <c r="Y8" s="7"/>
    </row>
    <row r="9" spans="1:25" s="1" customFormat="1" ht="2.25" customHeight="1">
      <c r="A9" s="144"/>
      <c r="B9" s="193"/>
      <c r="C9" s="194"/>
      <c r="D9" s="165"/>
      <c r="E9" s="165"/>
      <c r="F9" s="165"/>
      <c r="G9" s="155"/>
      <c r="H9" s="155"/>
      <c r="I9" s="728"/>
      <c r="J9" s="728"/>
      <c r="K9" s="153"/>
      <c r="L9" s="180"/>
      <c r="M9" s="285"/>
      <c r="N9" s="285"/>
      <c r="O9" s="285"/>
      <c r="P9" s="285"/>
      <c r="Q9" s="285"/>
      <c r="R9" s="285"/>
      <c r="S9" s="285"/>
      <c r="T9" s="285"/>
      <c r="U9" s="285"/>
      <c r="V9" s="7"/>
      <c r="W9" s="7"/>
      <c r="X9" s="7"/>
      <c r="Y9" s="7"/>
    </row>
    <row r="10" spans="1:25" s="1" customFormat="1" ht="12" customHeight="1">
      <c r="A10" s="144"/>
      <c r="B10" s="819"/>
      <c r="C10" s="819"/>
      <c r="D10" s="819"/>
      <c r="E10" s="819"/>
      <c r="F10" s="191"/>
      <c r="G10" s="174"/>
      <c r="H10" s="174"/>
      <c r="I10" s="818"/>
      <c r="J10" s="818"/>
      <c r="K10" s="32" t="s">
        <v>691</v>
      </c>
      <c r="L10" s="415"/>
      <c r="M10" s="285"/>
      <c r="N10" s="7"/>
      <c r="O10" s="7"/>
      <c r="P10" s="7"/>
      <c r="Q10" s="7"/>
      <c r="R10" s="7"/>
      <c r="S10" s="7"/>
      <c r="T10" s="285"/>
      <c r="U10" s="285"/>
      <c r="V10" s="7"/>
      <c r="W10" s="7"/>
      <c r="X10" s="7"/>
      <c r="Y10" s="7"/>
    </row>
    <row r="11" spans="1:25" s="1" customFormat="1" ht="2.25" customHeight="1">
      <c r="A11" s="144"/>
      <c r="B11" s="166"/>
      <c r="C11" s="164"/>
      <c r="D11" s="167"/>
      <c r="E11" s="167"/>
      <c r="F11" s="167"/>
      <c r="G11" s="157"/>
      <c r="H11" s="157"/>
      <c r="I11" s="7"/>
      <c r="J11" s="7"/>
      <c r="K11" s="154"/>
      <c r="L11" s="180"/>
      <c r="M11" s="285"/>
      <c r="N11" s="285"/>
      <c r="O11" s="285"/>
      <c r="P11" s="285"/>
      <c r="Q11" s="285"/>
      <c r="R11" s="285"/>
      <c r="S11" s="285"/>
      <c r="T11" s="285"/>
      <c r="U11" s="285"/>
      <c r="V11" s="7"/>
      <c r="W11" s="7"/>
      <c r="X11" s="7"/>
      <c r="Y11" s="7"/>
    </row>
    <row r="12" spans="1:25" s="1" customFormat="1" ht="12" customHeight="1">
      <c r="A12" s="144"/>
      <c r="B12" s="170" t="s">
        <v>982</v>
      </c>
      <c r="C12" s="724" t="s">
        <v>418</v>
      </c>
      <c r="D12" s="724"/>
      <c r="E12" s="590"/>
      <c r="F12" s="192"/>
      <c r="G12" s="155" t="s">
        <v>977</v>
      </c>
      <c r="H12" s="155"/>
      <c r="I12" s="729" t="str">
        <f>CONCATENATE('Заявка стр. 1'!A25)</f>
        <v>Симонова Наталья Владимировна</v>
      </c>
      <c r="J12" s="729"/>
      <c r="K12" s="692" t="s">
        <v>725</v>
      </c>
      <c r="L12" s="693"/>
      <c r="M12" s="694"/>
      <c r="N12" s="694"/>
      <c r="O12" s="285"/>
      <c r="P12" s="285"/>
      <c r="Q12" s="285"/>
      <c r="R12" s="285"/>
      <c r="S12" s="285"/>
      <c r="T12" s="285"/>
      <c r="U12" s="285"/>
      <c r="V12" s="7"/>
      <c r="W12" s="7"/>
      <c r="X12" s="7"/>
      <c r="Y12" s="7"/>
    </row>
    <row r="13" spans="1:25" s="1" customFormat="1" ht="2.25" customHeight="1">
      <c r="A13" s="144"/>
      <c r="B13" s="166"/>
      <c r="C13" s="164"/>
      <c r="D13" s="167"/>
      <c r="E13" s="167"/>
      <c r="F13" s="167"/>
      <c r="G13" s="157"/>
      <c r="H13" s="157"/>
      <c r="I13" s="7"/>
      <c r="J13" s="7"/>
      <c r="K13" s="154"/>
      <c r="L13" s="180"/>
      <c r="M13" s="285"/>
      <c r="N13" s="285"/>
      <c r="O13" s="285"/>
      <c r="P13" s="285"/>
      <c r="Q13" s="285"/>
      <c r="R13" s="285"/>
      <c r="S13" s="285"/>
      <c r="T13" s="285"/>
      <c r="U13" s="285"/>
      <c r="V13" s="7"/>
      <c r="W13" s="7"/>
      <c r="X13" s="7"/>
      <c r="Y13" s="7"/>
    </row>
    <row r="14" spans="1:25" s="1" customFormat="1" ht="12" customHeight="1">
      <c r="A14" s="144"/>
      <c r="B14" s="170" t="s">
        <v>595</v>
      </c>
      <c r="C14" s="808"/>
      <c r="D14" s="809"/>
      <c r="E14" s="809"/>
      <c r="F14" s="192"/>
      <c r="G14" s="155" t="s">
        <v>978</v>
      </c>
      <c r="H14" s="155"/>
      <c r="I14" s="729" t="str">
        <f>CONCATENATE('Заявка стр. 1'!B27)</f>
        <v>(495) 276-52-71</v>
      </c>
      <c r="J14" s="729"/>
      <c r="K14" s="32"/>
      <c r="L14" s="371"/>
      <c r="M14" s="285"/>
      <c r="N14" s="180">
        <f>'Заявка стр. 2'!O15</f>
        <v>0</v>
      </c>
      <c r="O14" s="285"/>
      <c r="P14" s="285"/>
      <c r="Q14" s="285"/>
      <c r="R14" s="285"/>
      <c r="S14" s="285"/>
      <c r="T14" s="285"/>
      <c r="U14" s="285"/>
      <c r="V14" s="7"/>
      <c r="W14" s="7"/>
      <c r="X14" s="7"/>
      <c r="Y14" s="7"/>
    </row>
    <row r="15" spans="1:25" s="1" customFormat="1" ht="2.25" customHeight="1">
      <c r="A15" s="144"/>
      <c r="B15" s="203"/>
      <c r="C15" s="234"/>
      <c r="D15" s="203"/>
      <c r="E15" s="235"/>
      <c r="F15" s="235"/>
      <c r="G15" s="221"/>
      <c r="H15" s="221"/>
      <c r="I15" s="221"/>
      <c r="J15" s="221"/>
      <c r="K15" s="236"/>
      <c r="L15" s="236"/>
      <c r="M15" s="285"/>
      <c r="N15" s="285"/>
      <c r="O15" s="285"/>
      <c r="P15" s="285"/>
      <c r="Q15" s="285"/>
      <c r="R15" s="285"/>
      <c r="S15" s="285"/>
      <c r="T15" s="285"/>
      <c r="U15" s="285"/>
      <c r="V15" s="7"/>
      <c r="W15" s="7"/>
      <c r="X15" s="7"/>
      <c r="Y15" s="7"/>
    </row>
    <row r="16" spans="2:21" ht="15.75" customHeight="1">
      <c r="B16" s="827" t="s">
        <v>830</v>
      </c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285"/>
      <c r="N16" s="285"/>
      <c r="O16" s="285"/>
      <c r="P16" s="285"/>
      <c r="Q16" s="285"/>
      <c r="R16" s="285"/>
      <c r="S16" s="285"/>
      <c r="T16" s="285"/>
      <c r="U16" s="285"/>
    </row>
    <row r="17" spans="2:21" ht="12" customHeight="1">
      <c r="B17" s="805">
        <f>IF(SUM(L79:L82)&gt;0,CONCATENATE(B79),IF(L83,CONCATENATE(B83),IF(SUM(L84:L86)&gt;0,CONCATENATE(B84),IF(L88,CONCATENATE(B88),IF(L89,CONCATENATE(B89),0)))))</f>
        <v>0</v>
      </c>
      <c r="C17" s="806"/>
      <c r="D17" s="806"/>
      <c r="E17" s="806"/>
      <c r="F17" s="806"/>
      <c r="G17" s="806"/>
      <c r="H17" s="806"/>
      <c r="I17" s="806"/>
      <c r="J17" s="806"/>
      <c r="K17" s="806"/>
      <c r="L17" s="807"/>
      <c r="N17" s="358"/>
      <c r="O17" s="7"/>
      <c r="P17" s="7"/>
      <c r="Q17" s="7"/>
      <c r="R17" s="7"/>
      <c r="S17" s="7"/>
      <c r="T17" s="7"/>
      <c r="U17" s="7"/>
    </row>
    <row r="18" spans="2:21" ht="12" customHeight="1">
      <c r="B18" s="824">
        <f>IF(L80,CONCATENATE(B80),IF(L81,CONCATENATE(B81),IF(L82,CONCATENATE(B82),IF(L85,CONCATENATE(B85),IF(L86,CONCATENATE(B86),0)))))</f>
        <v>0</v>
      </c>
      <c r="C18" s="825"/>
      <c r="D18" s="825"/>
      <c r="E18" s="825"/>
      <c r="F18" s="825"/>
      <c r="G18" s="825"/>
      <c r="H18" s="825"/>
      <c r="I18" s="825"/>
      <c r="J18" s="825"/>
      <c r="K18" s="825"/>
      <c r="L18" s="826"/>
      <c r="N18" s="358"/>
      <c r="O18" s="7"/>
      <c r="P18" s="7"/>
      <c r="Q18" s="7"/>
      <c r="R18" s="7"/>
      <c r="S18" s="7"/>
      <c r="T18" s="7"/>
      <c r="U18" s="7"/>
    </row>
    <row r="19" spans="2:21" ht="3" customHeight="1">
      <c r="B19" s="481"/>
      <c r="C19" s="481"/>
      <c r="D19" s="481"/>
      <c r="E19" s="481"/>
      <c r="F19" s="481"/>
      <c r="G19" s="481"/>
      <c r="H19" s="481"/>
      <c r="I19" s="481"/>
      <c r="J19" s="191"/>
      <c r="K19" s="288"/>
      <c r="L19" s="288"/>
      <c r="M19" s="285"/>
      <c r="N19" s="285"/>
      <c r="O19" s="285"/>
      <c r="P19" s="285"/>
      <c r="Q19" s="285"/>
      <c r="R19" s="285"/>
      <c r="S19" s="285"/>
      <c r="T19" s="285"/>
      <c r="U19" s="285"/>
    </row>
    <row r="20" spans="1:15" ht="23.25" customHeight="1">
      <c r="A20" s="489" t="b">
        <v>1</v>
      </c>
      <c r="B20" s="790" t="s">
        <v>829</v>
      </c>
      <c r="C20" s="790"/>
      <c r="D20" s="790"/>
      <c r="E20" s="790"/>
      <c r="F20" s="790"/>
      <c r="G20" s="790"/>
      <c r="H20" s="790"/>
      <c r="I20" s="791"/>
      <c r="J20" s="491">
        <f>350*49</f>
        <v>17150</v>
      </c>
      <c r="K20" s="274">
        <v>1</v>
      </c>
      <c r="L20" s="492">
        <f>IF(OR(L36,K44,K45),0,J20*K20)</f>
        <v>17150</v>
      </c>
      <c r="M20" s="11"/>
      <c r="N20" s="285"/>
      <c r="O20" s="12"/>
    </row>
    <row r="21" spans="2:21" ht="1.5" customHeight="1">
      <c r="B21" s="481"/>
      <c r="C21" s="481"/>
      <c r="D21" s="481"/>
      <c r="E21" s="481"/>
      <c r="F21" s="481"/>
      <c r="G21" s="481"/>
      <c r="H21" s="481"/>
      <c r="I21" s="481"/>
      <c r="J21" s="191"/>
      <c r="K21" s="288"/>
      <c r="L21" s="288"/>
      <c r="M21" s="285"/>
      <c r="N21" s="285"/>
      <c r="O21" s="285"/>
      <c r="P21" s="285"/>
      <c r="Q21" s="285"/>
      <c r="R21" s="285"/>
      <c r="S21" s="285"/>
      <c r="T21" s="285"/>
      <c r="U21" s="285"/>
    </row>
    <row r="22" spans="1:21" ht="25.5" customHeight="1">
      <c r="A22" s="488" t="b">
        <v>1</v>
      </c>
      <c r="B22" s="792" t="s">
        <v>672</v>
      </c>
      <c r="C22" s="793"/>
      <c r="D22" s="793"/>
      <c r="E22" s="793"/>
      <c r="F22" s="793"/>
      <c r="G22" s="793"/>
      <c r="H22" s="793"/>
      <c r="I22" s="793"/>
      <c r="J22" s="398" t="s">
        <v>95</v>
      </c>
      <c r="K22" s="398" t="s">
        <v>851</v>
      </c>
      <c r="L22" s="398" t="s">
        <v>97</v>
      </c>
      <c r="M22" s="285"/>
      <c r="N22" s="285"/>
      <c r="O22" s="285"/>
      <c r="P22" s="285"/>
      <c r="Q22" s="285"/>
      <c r="R22" s="285"/>
      <c r="S22" s="285"/>
      <c r="T22" s="285"/>
      <c r="U22" s="285"/>
    </row>
    <row r="23" spans="1:21" ht="18.75" customHeight="1">
      <c r="A23" s="517"/>
      <c r="B23" s="788" t="s">
        <v>470</v>
      </c>
      <c r="C23" s="788"/>
      <c r="D23" s="788"/>
      <c r="E23" s="788"/>
      <c r="F23" s="788"/>
      <c r="G23" s="788"/>
      <c r="H23" s="788"/>
      <c r="I23" s="788"/>
      <c r="J23" s="511">
        <f>225*49</f>
        <v>11025</v>
      </c>
      <c r="K23" s="615">
        <v>6</v>
      </c>
      <c r="L23" s="510">
        <f>J23*K23</f>
        <v>66150</v>
      </c>
      <c r="M23" s="285"/>
      <c r="N23" s="285"/>
      <c r="O23" s="285"/>
      <c r="P23" s="285"/>
      <c r="Q23" s="285"/>
      <c r="R23" s="285"/>
      <c r="S23" s="285"/>
      <c r="T23" s="285"/>
      <c r="U23" s="285"/>
    </row>
    <row r="24" spans="1:14" ht="0.75" customHeight="1" hidden="1">
      <c r="A24" s="517"/>
      <c r="B24" s="788" t="s">
        <v>358</v>
      </c>
      <c r="C24" s="788"/>
      <c r="D24" s="788"/>
      <c r="E24" s="788"/>
      <c r="F24" s="788"/>
      <c r="G24" s="788"/>
      <c r="H24" s="788"/>
      <c r="I24" s="788"/>
      <c r="J24" s="511">
        <v>5775</v>
      </c>
      <c r="K24" s="615">
        <v>0</v>
      </c>
      <c r="L24" s="516">
        <f>J24*K24</f>
        <v>0</v>
      </c>
      <c r="M24" s="11"/>
      <c r="N24" s="285"/>
    </row>
    <row r="25" spans="1:21" ht="14.25" customHeight="1" hidden="1">
      <c r="A25" s="517"/>
      <c r="B25" s="788" t="s">
        <v>599</v>
      </c>
      <c r="C25" s="788"/>
      <c r="D25" s="788"/>
      <c r="E25" s="788"/>
      <c r="F25" s="788"/>
      <c r="G25" s="788"/>
      <c r="H25" s="788"/>
      <c r="I25" s="788"/>
      <c r="J25" s="511">
        <v>8001</v>
      </c>
      <c r="K25" s="615">
        <v>0</v>
      </c>
      <c r="L25" s="510">
        <f>J25*K25</f>
        <v>0</v>
      </c>
      <c r="M25" s="285"/>
      <c r="N25" s="285"/>
      <c r="O25" s="285"/>
      <c r="P25" s="285"/>
      <c r="Q25" s="285"/>
      <c r="R25" s="285"/>
      <c r="S25" s="285"/>
      <c r="T25" s="285"/>
      <c r="U25" s="285"/>
    </row>
    <row r="26" spans="1:14" ht="13.5" hidden="1">
      <c r="A26" s="143"/>
      <c r="B26" s="823" t="s">
        <v>930</v>
      </c>
      <c r="C26" s="823"/>
      <c r="D26" s="823"/>
      <c r="E26" s="823"/>
      <c r="F26" s="823"/>
      <c r="G26" s="823"/>
      <c r="H26" s="823"/>
      <c r="I26" s="823"/>
      <c r="J26" s="613">
        <v>3675</v>
      </c>
      <c r="K26" s="615">
        <v>0</v>
      </c>
      <c r="L26" s="614">
        <f>J26*K26</f>
        <v>0</v>
      </c>
      <c r="M26" s="11"/>
      <c r="N26" s="285"/>
    </row>
    <row r="27" spans="1:14" ht="13.5" customHeight="1" hidden="1">
      <c r="A27" s="143"/>
      <c r="B27" s="788" t="s">
        <v>951</v>
      </c>
      <c r="C27" s="788"/>
      <c r="D27" s="788"/>
      <c r="E27" s="788"/>
      <c r="F27" s="788"/>
      <c r="G27" s="788"/>
      <c r="H27" s="788"/>
      <c r="I27" s="788"/>
      <c r="J27" s="788"/>
      <c r="K27" s="788"/>
      <c r="L27" s="518">
        <f>L23+L24+L25+L26</f>
        <v>66150</v>
      </c>
      <c r="M27" s="11"/>
      <c r="N27" s="8"/>
    </row>
    <row r="28" spans="1:14" ht="2.25" customHeight="1">
      <c r="A28" s="143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113"/>
      <c r="M28" s="11"/>
      <c r="N28" s="8"/>
    </row>
    <row r="29" spans="1:14" ht="17.25" customHeight="1">
      <c r="A29" s="143"/>
      <c r="B29" s="788" t="s">
        <v>375</v>
      </c>
      <c r="C29" s="788"/>
      <c r="D29" s="788"/>
      <c r="E29" s="788"/>
      <c r="F29" s="788"/>
      <c r="G29" s="788"/>
      <c r="H29" s="788"/>
      <c r="I29" s="788"/>
      <c r="J29" s="511">
        <v>3256</v>
      </c>
      <c r="K29" s="615">
        <v>0</v>
      </c>
      <c r="L29" s="510">
        <f>J29*K29</f>
        <v>0</v>
      </c>
      <c r="M29" s="11"/>
      <c r="N29" s="8"/>
    </row>
    <row r="30" spans="1:14" ht="25.5" customHeight="1">
      <c r="A30" s="488" t="b">
        <v>1</v>
      </c>
      <c r="B30" s="794" t="s">
        <v>986</v>
      </c>
      <c r="C30" s="795"/>
      <c r="D30" s="795"/>
      <c r="E30" s="795"/>
      <c r="F30" s="795"/>
      <c r="G30" s="795"/>
      <c r="H30" s="795"/>
      <c r="I30" s="795"/>
      <c r="J30" s="398" t="s">
        <v>95</v>
      </c>
      <c r="K30" s="197" t="s">
        <v>851</v>
      </c>
      <c r="L30" s="398" t="s">
        <v>97</v>
      </c>
      <c r="M30" s="11"/>
      <c r="N30" s="10"/>
    </row>
    <row r="31" spans="1:14" ht="12" customHeight="1" hidden="1">
      <c r="A31" s="143"/>
      <c r="B31" s="821" t="s">
        <v>1028</v>
      </c>
      <c r="C31" s="822"/>
      <c r="D31" s="822"/>
      <c r="E31" s="822"/>
      <c r="F31" s="822"/>
      <c r="G31" s="822"/>
      <c r="H31" s="822"/>
      <c r="I31" s="822"/>
      <c r="J31" s="512">
        <f>'содержание '!C115</f>
        <v>0</v>
      </c>
      <c r="K31" s="513">
        <v>0</v>
      </c>
      <c r="L31" s="514">
        <f>J31*K31</f>
        <v>0</v>
      </c>
      <c r="M31" s="11"/>
      <c r="N31" s="10"/>
    </row>
    <row r="32" spans="1:14" ht="12" customHeight="1">
      <c r="A32" s="143"/>
      <c r="B32" s="788" t="s">
        <v>701</v>
      </c>
      <c r="C32" s="788"/>
      <c r="D32" s="788"/>
      <c r="E32" s="788"/>
      <c r="F32" s="788"/>
      <c r="G32" s="788"/>
      <c r="H32" s="788"/>
      <c r="I32" s="788"/>
      <c r="J32" s="515">
        <f>73*49</f>
        <v>3577</v>
      </c>
      <c r="K32" s="615">
        <v>0</v>
      </c>
      <c r="L32" s="510">
        <f>J32*K32</f>
        <v>0</v>
      </c>
      <c r="M32" s="11"/>
      <c r="N32" s="285"/>
    </row>
    <row r="33" spans="1:14" ht="1.5" customHeight="1">
      <c r="A33" s="143"/>
      <c r="B33" s="7"/>
      <c r="C33" s="7"/>
      <c r="D33" s="7"/>
      <c r="E33" s="7"/>
      <c r="F33" s="7"/>
      <c r="G33" s="7"/>
      <c r="H33" s="7"/>
      <c r="I33" s="7"/>
      <c r="J33" s="7"/>
      <c r="K33" s="7"/>
      <c r="L33" s="71"/>
      <c r="M33" s="11"/>
      <c r="N33" s="9"/>
    </row>
    <row r="34" spans="1:21" s="22" customFormat="1" ht="24" customHeight="1">
      <c r="A34" s="487" t="b">
        <v>1</v>
      </c>
      <c r="B34" s="811" t="s">
        <v>826</v>
      </c>
      <c r="C34" s="811"/>
      <c r="D34" s="811"/>
      <c r="E34" s="811"/>
      <c r="F34" s="811"/>
      <c r="G34" s="811"/>
      <c r="H34" s="811"/>
      <c r="I34" s="811"/>
      <c r="J34" s="398" t="s">
        <v>95</v>
      </c>
      <c r="K34" s="398" t="s">
        <v>851</v>
      </c>
      <c r="L34" s="398" t="s">
        <v>97</v>
      </c>
      <c r="M34" s="11"/>
      <c r="N34" s="10"/>
      <c r="O34" s="13"/>
      <c r="P34" s="13"/>
      <c r="Q34" s="13"/>
      <c r="R34" s="13"/>
      <c r="S34" s="13"/>
      <c r="T34" s="13"/>
      <c r="U34" s="13"/>
    </row>
    <row r="35" spans="1:14" ht="12" customHeight="1">
      <c r="A35" s="490"/>
      <c r="B35" s="810" t="s">
        <v>992</v>
      </c>
      <c r="C35" s="810"/>
      <c r="D35" s="810"/>
      <c r="E35" s="810"/>
      <c r="F35" s="810"/>
      <c r="G35" s="810"/>
      <c r="H35" s="810"/>
      <c r="I35" s="810"/>
      <c r="J35" s="511">
        <f>350*49</f>
        <v>17150</v>
      </c>
      <c r="K35" s="526">
        <v>0</v>
      </c>
      <c r="L35" s="510">
        <f>J35*K35</f>
        <v>0</v>
      </c>
      <c r="N35" s="285"/>
    </row>
    <row r="36" spans="1:14" ht="12" customHeight="1">
      <c r="A36" s="143"/>
      <c r="B36" s="810" t="s">
        <v>987</v>
      </c>
      <c r="C36" s="810"/>
      <c r="D36" s="810"/>
      <c r="E36" s="810"/>
      <c r="F36" s="810"/>
      <c r="G36" s="810"/>
      <c r="H36" s="810"/>
      <c r="I36" s="810"/>
      <c r="J36" s="511">
        <f>476*49</f>
        <v>23324</v>
      </c>
      <c r="K36" s="526">
        <v>0</v>
      </c>
      <c r="L36" s="510">
        <f>J36*K36</f>
        <v>0</v>
      </c>
      <c r="N36" s="285"/>
    </row>
    <row r="37" spans="1:14" ht="2.25" customHeight="1">
      <c r="A37" s="143"/>
      <c r="B37" s="7"/>
      <c r="C37" s="7"/>
      <c r="D37" s="7"/>
      <c r="E37" s="7"/>
      <c r="F37" s="7"/>
      <c r="G37" s="7"/>
      <c r="H37" s="7"/>
      <c r="I37" s="7"/>
      <c r="J37" s="7"/>
      <c r="K37" s="7"/>
      <c r="L37" s="71"/>
      <c r="M37" s="11"/>
      <c r="N37" s="9"/>
    </row>
    <row r="38" spans="1:14" ht="25.5" customHeight="1">
      <c r="A38" s="650"/>
      <c r="B38" s="794" t="s">
        <v>827</v>
      </c>
      <c r="C38" s="795"/>
      <c r="D38" s="795"/>
      <c r="E38" s="795"/>
      <c r="F38" s="795"/>
      <c r="G38" s="795"/>
      <c r="H38" s="795"/>
      <c r="I38" s="795"/>
      <c r="J38" s="398" t="s">
        <v>96</v>
      </c>
      <c r="K38" s="197" t="s">
        <v>883</v>
      </c>
      <c r="L38" s="398" t="s">
        <v>97</v>
      </c>
      <c r="M38" s="11"/>
      <c r="N38" s="10"/>
    </row>
    <row r="39" spans="1:14" ht="12" customHeight="1">
      <c r="A39" s="649" t="b">
        <v>0</v>
      </c>
      <c r="B39" s="796" t="s">
        <v>825</v>
      </c>
      <c r="C39" s="797"/>
      <c r="D39" s="797"/>
      <c r="E39" s="797"/>
      <c r="F39" s="797"/>
      <c r="G39" s="797"/>
      <c r="H39" s="797"/>
      <c r="I39" s="797"/>
      <c r="J39" s="520"/>
      <c r="K39" s="521"/>
      <c r="L39" s="522"/>
      <c r="M39" s="11"/>
      <c r="N39" s="10"/>
    </row>
    <row r="40" spans="1:14" ht="12" customHeight="1">
      <c r="A40" s="143"/>
      <c r="B40" s="788" t="s">
        <v>371</v>
      </c>
      <c r="C40" s="788"/>
      <c r="D40" s="788"/>
      <c r="E40" s="788"/>
      <c r="F40" s="788"/>
      <c r="G40" s="788"/>
      <c r="H40" s="788"/>
      <c r="I40" s="788"/>
      <c r="J40" s="515">
        <v>0</v>
      </c>
      <c r="K40" s="635">
        <v>0</v>
      </c>
      <c r="L40" s="510">
        <f>J40*K40</f>
        <v>0</v>
      </c>
      <c r="M40" s="11"/>
      <c r="N40" s="285"/>
    </row>
    <row r="41" spans="1:14" ht="12" customHeight="1">
      <c r="A41" s="143"/>
      <c r="B41" s="788" t="s">
        <v>663</v>
      </c>
      <c r="C41" s="788"/>
      <c r="D41" s="788"/>
      <c r="E41" s="788"/>
      <c r="F41" s="788"/>
      <c r="G41" s="788"/>
      <c r="H41" s="788"/>
      <c r="I41" s="788"/>
      <c r="J41" s="515">
        <f>124*49</f>
        <v>6076</v>
      </c>
      <c r="K41" s="519">
        <v>0</v>
      </c>
      <c r="L41" s="510">
        <f>J41*K41</f>
        <v>0</v>
      </c>
      <c r="M41" s="11"/>
      <c r="N41" s="285"/>
    </row>
    <row r="42" spans="1:14" ht="12" customHeight="1">
      <c r="A42" s="143"/>
      <c r="B42" s="788" t="s">
        <v>370</v>
      </c>
      <c r="C42" s="788"/>
      <c r="D42" s="788"/>
      <c r="E42" s="788"/>
      <c r="F42" s="788"/>
      <c r="G42" s="788"/>
      <c r="H42" s="788"/>
      <c r="I42" s="788"/>
      <c r="J42" s="515">
        <f>199*49</f>
        <v>9751</v>
      </c>
      <c r="K42" s="519">
        <v>0</v>
      </c>
      <c r="L42" s="510">
        <f>J42*K42</f>
        <v>0</v>
      </c>
      <c r="M42" s="652"/>
      <c r="N42" s="285"/>
    </row>
    <row r="43" spans="1:14" ht="12" customHeight="1">
      <c r="A43" s="487" t="b">
        <v>0</v>
      </c>
      <c r="B43" s="801" t="s">
        <v>828</v>
      </c>
      <c r="C43" s="802"/>
      <c r="D43" s="802"/>
      <c r="E43" s="802"/>
      <c r="F43" s="802"/>
      <c r="G43" s="802"/>
      <c r="H43" s="802"/>
      <c r="I43" s="802"/>
      <c r="J43" s="523"/>
      <c r="K43" s="524"/>
      <c r="L43" s="525"/>
      <c r="M43" s="11"/>
      <c r="N43" s="10"/>
    </row>
    <row r="44" spans="1:14" ht="12" customHeight="1">
      <c r="A44" s="143"/>
      <c r="B44" s="788" t="s">
        <v>371</v>
      </c>
      <c r="C44" s="788"/>
      <c r="D44" s="788"/>
      <c r="E44" s="788"/>
      <c r="F44" s="788"/>
      <c r="G44" s="788"/>
      <c r="H44" s="788"/>
      <c r="I44" s="788"/>
      <c r="J44" s="515">
        <f>245*49</f>
        <v>12005</v>
      </c>
      <c r="K44" s="519">
        <v>0</v>
      </c>
      <c r="L44" s="510">
        <f>J44*K44</f>
        <v>0</v>
      </c>
      <c r="M44" s="11"/>
      <c r="N44" s="285"/>
    </row>
    <row r="45" spans="1:14" ht="12" customHeight="1">
      <c r="A45" s="143"/>
      <c r="B45" s="788" t="s">
        <v>370</v>
      </c>
      <c r="C45" s="788"/>
      <c r="D45" s="788"/>
      <c r="E45" s="788"/>
      <c r="F45" s="788"/>
      <c r="G45" s="788"/>
      <c r="H45" s="788"/>
      <c r="I45" s="788"/>
      <c r="J45" s="515">
        <f>350*49</f>
        <v>17150</v>
      </c>
      <c r="K45" s="519">
        <v>0</v>
      </c>
      <c r="L45" s="510">
        <f>J45*K45</f>
        <v>0</v>
      </c>
      <c r="M45" s="11"/>
      <c r="N45" s="285"/>
    </row>
    <row r="46" spans="1:21" s="681" customFormat="1" ht="18" customHeight="1">
      <c r="A46" s="677"/>
      <c r="B46" s="798" t="s">
        <v>1040</v>
      </c>
      <c r="C46" s="799"/>
      <c r="D46" s="799"/>
      <c r="E46" s="799"/>
      <c r="F46" s="799"/>
      <c r="G46" s="799"/>
      <c r="H46" s="799"/>
      <c r="I46" s="799"/>
      <c r="J46" s="799"/>
      <c r="K46" s="799"/>
      <c r="L46" s="800"/>
      <c r="M46" s="678"/>
      <c r="N46" s="679"/>
      <c r="O46" s="680"/>
      <c r="P46" s="680"/>
      <c r="Q46" s="680"/>
      <c r="R46" s="680"/>
      <c r="S46" s="680"/>
      <c r="T46" s="680"/>
      <c r="U46" s="680"/>
    </row>
    <row r="47" spans="1:14" ht="12" customHeight="1">
      <c r="A47" s="143"/>
      <c r="B47" s="801" t="s">
        <v>825</v>
      </c>
      <c r="C47" s="802"/>
      <c r="D47" s="802"/>
      <c r="E47" s="802"/>
      <c r="F47" s="802"/>
      <c r="G47" s="802"/>
      <c r="H47" s="802"/>
      <c r="I47" s="802"/>
      <c r="J47" s="523"/>
      <c r="K47" s="524"/>
      <c r="L47" s="525"/>
      <c r="M47" s="11"/>
      <c r="N47" s="285"/>
    </row>
    <row r="48" spans="1:14" ht="12" customHeight="1">
      <c r="A48" s="143"/>
      <c r="B48" s="788" t="s">
        <v>457</v>
      </c>
      <c r="C48" s="788"/>
      <c r="D48" s="788"/>
      <c r="E48" s="788"/>
      <c r="F48" s="788"/>
      <c r="G48" s="788"/>
      <c r="H48" s="788"/>
      <c r="I48" s="788"/>
      <c r="J48" s="515">
        <v>0</v>
      </c>
      <c r="K48" s="635">
        <v>0</v>
      </c>
      <c r="L48" s="510">
        <f>J48*K48</f>
        <v>0</v>
      </c>
      <c r="M48" s="11"/>
      <c r="N48" s="285"/>
    </row>
    <row r="49" spans="1:14" ht="12" customHeight="1">
      <c r="A49" s="143"/>
      <c r="B49" s="788" t="s">
        <v>552</v>
      </c>
      <c r="C49" s="788"/>
      <c r="D49" s="788"/>
      <c r="E49" s="788"/>
      <c r="F49" s="788"/>
      <c r="G49" s="788"/>
      <c r="H49" s="788"/>
      <c r="I49" s="788"/>
      <c r="J49" s="515">
        <v>2543</v>
      </c>
      <c r="K49" s="519">
        <v>0</v>
      </c>
      <c r="L49" s="510">
        <f>J49*K49</f>
        <v>0</v>
      </c>
      <c r="M49" s="11"/>
      <c r="N49" s="285"/>
    </row>
    <row r="50" spans="1:14" ht="24.75" customHeight="1">
      <c r="A50" s="143"/>
      <c r="B50" s="788" t="s">
        <v>551</v>
      </c>
      <c r="C50" s="788"/>
      <c r="D50" s="788"/>
      <c r="E50" s="788"/>
      <c r="F50" s="788"/>
      <c r="G50" s="788"/>
      <c r="H50" s="788"/>
      <c r="I50" s="788"/>
      <c r="J50" s="515">
        <v>4238</v>
      </c>
      <c r="K50" s="519">
        <v>0</v>
      </c>
      <c r="L50" s="510">
        <f>J50*K50</f>
        <v>0</v>
      </c>
      <c r="M50" s="11"/>
      <c r="N50" s="285"/>
    </row>
    <row r="51" spans="1:14" ht="12" customHeight="1">
      <c r="A51" s="143"/>
      <c r="B51" s="801" t="s">
        <v>1039</v>
      </c>
      <c r="C51" s="802"/>
      <c r="D51" s="802"/>
      <c r="E51" s="802"/>
      <c r="F51" s="802"/>
      <c r="G51" s="802"/>
      <c r="H51" s="802"/>
      <c r="I51" s="802"/>
      <c r="J51" s="523"/>
      <c r="K51" s="524"/>
      <c r="L51" s="525"/>
      <c r="M51" s="11"/>
      <c r="N51" s="285"/>
    </row>
    <row r="52" spans="1:14" ht="12" customHeight="1">
      <c r="A52" s="143"/>
      <c r="B52" s="788" t="s">
        <v>457</v>
      </c>
      <c r="C52" s="788"/>
      <c r="D52" s="788"/>
      <c r="E52" s="788"/>
      <c r="F52" s="788"/>
      <c r="G52" s="788"/>
      <c r="H52" s="788"/>
      <c r="I52" s="788"/>
      <c r="J52" s="515">
        <v>2543</v>
      </c>
      <c r="K52" s="519">
        <v>0</v>
      </c>
      <c r="L52" s="510">
        <f>J52*K52</f>
        <v>0</v>
      </c>
      <c r="M52" s="11"/>
      <c r="N52" s="285"/>
    </row>
    <row r="53" spans="1:14" ht="12" customHeight="1">
      <c r="A53" s="143"/>
      <c r="B53" s="788" t="s">
        <v>552</v>
      </c>
      <c r="C53" s="788"/>
      <c r="D53" s="788"/>
      <c r="E53" s="788"/>
      <c r="F53" s="788"/>
      <c r="G53" s="788"/>
      <c r="H53" s="788"/>
      <c r="I53" s="788"/>
      <c r="J53" s="515">
        <v>4238</v>
      </c>
      <c r="K53" s="519">
        <v>0</v>
      </c>
      <c r="L53" s="510">
        <f>J53*K53</f>
        <v>0</v>
      </c>
      <c r="M53" s="11"/>
      <c r="N53" s="285"/>
    </row>
    <row r="54" spans="1:14" ht="23.25" customHeight="1">
      <c r="A54" s="143"/>
      <c r="B54" s="788" t="s">
        <v>551</v>
      </c>
      <c r="C54" s="788"/>
      <c r="D54" s="788"/>
      <c r="E54" s="788"/>
      <c r="F54" s="788"/>
      <c r="G54" s="788"/>
      <c r="H54" s="788"/>
      <c r="I54" s="788"/>
      <c r="J54" s="515">
        <v>5933</v>
      </c>
      <c r="K54" s="519">
        <v>0</v>
      </c>
      <c r="L54" s="510">
        <f>J54*K54</f>
        <v>0</v>
      </c>
      <c r="M54" s="11"/>
      <c r="N54" s="285"/>
    </row>
    <row r="55" spans="2:17" ht="12" customHeight="1">
      <c r="B55" s="273"/>
      <c r="C55" s="273"/>
      <c r="D55" s="273"/>
      <c r="E55" s="273"/>
      <c r="F55" s="273"/>
      <c r="G55" s="273"/>
      <c r="H55" s="273"/>
      <c r="I55" s="53"/>
      <c r="J55" s="183"/>
      <c r="K55" s="50"/>
      <c r="L55" s="53"/>
      <c r="M55" s="13"/>
      <c r="N55" s="13"/>
      <c r="O55" s="13"/>
      <c r="P55" s="13"/>
      <c r="Q55" s="13"/>
    </row>
    <row r="56" spans="2:15" ht="13.5" customHeight="1">
      <c r="B56" s="804"/>
      <c r="C56" s="804"/>
      <c r="D56" s="804"/>
      <c r="E56" s="804"/>
      <c r="F56" s="804"/>
      <c r="G56" s="804"/>
      <c r="H56" s="224"/>
      <c r="I56" s="709" t="s">
        <v>840</v>
      </c>
      <c r="J56" s="709"/>
      <c r="K56" s="709"/>
      <c r="L56" s="675">
        <f>IF(OR(L36,L44,L45,L52,L53,L54),L36+L44+L45+L52+L53+L54,L27+L31+L32+L20+L35+L41+L42+L48+L49+L50+L29)</f>
        <v>83300</v>
      </c>
      <c r="O56" s="14"/>
    </row>
    <row r="57" spans="2:12" ht="13.5" customHeight="1">
      <c r="B57" s="804"/>
      <c r="C57" s="804"/>
      <c r="D57" s="804"/>
      <c r="E57" s="804"/>
      <c r="F57" s="804"/>
      <c r="G57" s="804"/>
      <c r="H57" s="224"/>
      <c r="I57" s="709" t="s">
        <v>841</v>
      </c>
      <c r="J57" s="709"/>
      <c r="K57" s="709"/>
      <c r="L57" s="676">
        <f>MMULT(L56,0.18)</f>
        <v>14994</v>
      </c>
    </row>
    <row r="58" spans="2:12" ht="13.5" customHeight="1">
      <c r="B58" s="708"/>
      <c r="C58" s="708"/>
      <c r="D58" s="7"/>
      <c r="E58" s="7"/>
      <c r="F58" s="224"/>
      <c r="G58" s="224"/>
      <c r="H58" s="224"/>
      <c r="I58" s="709" t="s">
        <v>842</v>
      </c>
      <c r="J58" s="709"/>
      <c r="K58" s="709"/>
      <c r="L58" s="676">
        <f>SUM(L56,L57)</f>
        <v>98294</v>
      </c>
    </row>
    <row r="59" spans="2:12" ht="6" customHeight="1">
      <c r="B59" s="110"/>
      <c r="C59" s="110"/>
      <c r="D59" s="7"/>
      <c r="E59" s="7"/>
      <c r="F59" s="224"/>
      <c r="G59" s="224"/>
      <c r="H59" s="224"/>
      <c r="I59" s="642"/>
      <c r="J59" s="642"/>
      <c r="K59" s="642"/>
      <c r="L59" s="653"/>
    </row>
    <row r="60" spans="2:15" ht="12.75">
      <c r="B60" s="41"/>
      <c r="C60" s="41"/>
      <c r="D60" s="41"/>
      <c r="E60" s="41"/>
      <c r="F60" s="41"/>
      <c r="G60" s="41"/>
      <c r="H60" s="224"/>
      <c r="I60" s="52"/>
      <c r="J60" s="52"/>
      <c r="K60" s="52"/>
      <c r="L60" s="464"/>
      <c r="O60" s="14"/>
    </row>
    <row r="61" spans="2:12" ht="13.5" customHeight="1">
      <c r="B61" s="651" t="s">
        <v>843</v>
      </c>
      <c r="C61" s="41"/>
      <c r="D61" s="41"/>
      <c r="E61" s="41"/>
      <c r="F61" s="41"/>
      <c r="G61" s="41"/>
      <c r="H61" s="224"/>
      <c r="I61" s="224"/>
      <c r="J61" s="224"/>
      <c r="K61" s="224"/>
      <c r="L61" s="14"/>
    </row>
    <row r="62" spans="2:12" ht="12.75">
      <c r="B62" s="22"/>
      <c r="C62" s="224"/>
      <c r="D62" s="224"/>
      <c r="E62" s="224"/>
      <c r="F62" s="224"/>
      <c r="G62" s="224"/>
      <c r="H62" s="224"/>
      <c r="I62" s="52"/>
      <c r="J62" s="52"/>
      <c r="K62" s="52"/>
      <c r="L62" s="14"/>
    </row>
    <row r="63" spans="2:12" ht="15.75" customHeight="1">
      <c r="B63" s="708" t="s">
        <v>564</v>
      </c>
      <c r="C63" s="708"/>
      <c r="D63" s="7"/>
      <c r="E63" s="7"/>
      <c r="F63" s="224"/>
      <c r="G63" s="224"/>
      <c r="H63" s="224"/>
      <c r="I63" s="709"/>
      <c r="J63" s="709"/>
      <c r="K63" s="709"/>
      <c r="L63" s="353"/>
    </row>
    <row r="64" spans="2:12" ht="12.75" customHeight="1">
      <c r="B64" s="710" t="str">
        <f>CONCATENATE('Заявка стр. 1'!B4)</f>
        <v>АО "Научно-производственный центр "Вигстар"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</row>
    <row r="65" spans="2:21" s="144" customFormat="1" ht="12.75">
      <c r="B65" s="803" t="str">
        <f>CONCATENATE('Заявка стр. 1'!B17)</f>
        <v>Заместитель генерального директора по экономике и финансам</v>
      </c>
      <c r="C65" s="803"/>
      <c r="D65" s="803"/>
      <c r="E65" s="803"/>
      <c r="F65" s="803"/>
      <c r="G65" s="803"/>
      <c r="H65" s="803"/>
      <c r="O65" s="143"/>
      <c r="P65" s="143"/>
      <c r="Q65" s="143"/>
      <c r="R65" s="143"/>
      <c r="S65" s="143"/>
      <c r="T65" s="143"/>
      <c r="U65" s="143"/>
    </row>
    <row r="66" spans="2:21" s="144" customFormat="1" ht="12.75">
      <c r="B66" s="706" t="str">
        <f>CONCATENATE('Заявка стр. 1'!A19)</f>
        <v>Короткевич Олег Иосифович</v>
      </c>
      <c r="C66" s="706"/>
      <c r="D66" s="706"/>
      <c r="E66" s="707"/>
      <c r="F66" s="707"/>
      <c r="G66" s="707"/>
      <c r="H66" s="707"/>
      <c r="J66" s="820" t="s">
        <v>260</v>
      </c>
      <c r="K66" s="820"/>
      <c r="L66" s="820"/>
      <c r="O66" s="143"/>
      <c r="P66" s="143"/>
      <c r="Q66" s="143"/>
      <c r="R66" s="143"/>
      <c r="S66" s="143"/>
      <c r="T66" s="143"/>
      <c r="U66" s="143"/>
    </row>
    <row r="67" spans="2:21" s="144" customFormat="1" ht="12" customHeight="1">
      <c r="B67" s="43"/>
      <c r="C67" s="43"/>
      <c r="D67" s="313"/>
      <c r="E67" s="290"/>
      <c r="F67" s="290"/>
      <c r="G67" s="366" t="s">
        <v>991</v>
      </c>
      <c r="H67" s="290"/>
      <c r="I67" s="314"/>
      <c r="J67" s="314"/>
      <c r="O67" s="143"/>
      <c r="P67" s="143"/>
      <c r="Q67" s="143"/>
      <c r="R67" s="143"/>
      <c r="S67" s="143"/>
      <c r="T67" s="143"/>
      <c r="U67" s="143"/>
    </row>
    <row r="68" spans="2:21" s="144" customFormat="1" ht="12.75">
      <c r="B68" s="485"/>
      <c r="C68" s="485"/>
      <c r="D68" s="313"/>
      <c r="E68" s="313"/>
      <c r="F68" s="313"/>
      <c r="G68" s="313"/>
      <c r="H68" s="313"/>
      <c r="I68" s="313"/>
      <c r="J68" s="313"/>
      <c r="K68" s="313"/>
      <c r="M68" s="142"/>
      <c r="N68" s="143"/>
      <c r="O68" s="143"/>
      <c r="P68" s="143"/>
      <c r="Q68" s="143"/>
      <c r="R68" s="143"/>
      <c r="S68" s="143"/>
      <c r="T68" s="143"/>
      <c r="U68" s="143"/>
    </row>
    <row r="69" spans="2:21" ht="12.75" customHeight="1">
      <c r="B69" s="789" t="s">
        <v>831</v>
      </c>
      <c r="C69" s="789"/>
      <c r="D69" s="789"/>
      <c r="E69" s="789"/>
      <c r="F69" s="789"/>
      <c r="G69" s="789"/>
      <c r="H69" s="789"/>
      <c r="I69" s="789"/>
      <c r="J69" s="789"/>
      <c r="K69" s="789"/>
      <c r="L69" s="426"/>
      <c r="O69" s="7"/>
      <c r="P69" s="7"/>
      <c r="Q69" s="7"/>
      <c r="R69" s="7"/>
      <c r="S69" s="7"/>
      <c r="T69" s="7"/>
      <c r="U69" s="7"/>
    </row>
    <row r="70" spans="2:21" ht="12.75" customHeight="1">
      <c r="B70" s="711" t="s">
        <v>471</v>
      </c>
      <c r="C70" s="712"/>
      <c r="D70" s="712"/>
      <c r="E70" s="712"/>
      <c r="F70" s="712"/>
      <c r="G70" s="712"/>
      <c r="H70" s="712"/>
      <c r="I70" s="712"/>
      <c r="J70" s="712"/>
      <c r="K70" s="786"/>
      <c r="L70" s="486">
        <v>1</v>
      </c>
      <c r="O70" s="7"/>
      <c r="P70" s="7"/>
      <c r="Q70" s="7"/>
      <c r="R70" s="7"/>
      <c r="S70" s="7"/>
      <c r="T70" s="7"/>
      <c r="U70" s="7"/>
    </row>
    <row r="71" spans="2:21" ht="12.75" customHeight="1">
      <c r="B71" s="711" t="s">
        <v>472</v>
      </c>
      <c r="C71" s="712"/>
      <c r="D71" s="712"/>
      <c r="E71" s="712"/>
      <c r="F71" s="712"/>
      <c r="G71" s="712"/>
      <c r="H71" s="712"/>
      <c r="I71" s="712"/>
      <c r="J71" s="712"/>
      <c r="K71" s="786"/>
      <c r="L71" s="416">
        <v>0</v>
      </c>
      <c r="O71" s="7"/>
      <c r="P71" s="7"/>
      <c r="Q71" s="7"/>
      <c r="R71" s="7"/>
      <c r="S71" s="7"/>
      <c r="T71" s="7"/>
      <c r="U71" s="7"/>
    </row>
    <row r="72" spans="2:21" ht="12.75" customHeight="1">
      <c r="B72" s="711" t="s">
        <v>473</v>
      </c>
      <c r="C72" s="712"/>
      <c r="D72" s="712"/>
      <c r="E72" s="712"/>
      <c r="F72" s="712"/>
      <c r="G72" s="712"/>
      <c r="H72" s="712"/>
      <c r="I72" s="712"/>
      <c r="J72" s="712"/>
      <c r="K72" s="786"/>
      <c r="L72" s="416">
        <v>0</v>
      </c>
      <c r="O72" s="7"/>
      <c r="P72" s="7"/>
      <c r="Q72" s="7"/>
      <c r="R72" s="7"/>
      <c r="S72" s="7"/>
      <c r="T72" s="7"/>
      <c r="U72" s="7"/>
    </row>
    <row r="73" spans="2:21" ht="12.75" customHeight="1">
      <c r="B73" s="711" t="s">
        <v>474</v>
      </c>
      <c r="C73" s="712"/>
      <c r="D73" s="712"/>
      <c r="E73" s="712"/>
      <c r="F73" s="712"/>
      <c r="G73" s="712"/>
      <c r="H73" s="712"/>
      <c r="I73" s="712"/>
      <c r="J73" s="712"/>
      <c r="K73" s="786"/>
      <c r="L73" s="416">
        <v>0</v>
      </c>
      <c r="O73" s="7"/>
      <c r="P73" s="7"/>
      <c r="Q73" s="7"/>
      <c r="R73" s="7"/>
      <c r="S73" s="7"/>
      <c r="T73" s="7"/>
      <c r="U73" s="7"/>
    </row>
    <row r="74" spans="2:21" ht="12.75" customHeight="1">
      <c r="B74" s="711" t="s">
        <v>475</v>
      </c>
      <c r="C74" s="712"/>
      <c r="D74" s="712"/>
      <c r="E74" s="712"/>
      <c r="F74" s="712"/>
      <c r="G74" s="712"/>
      <c r="H74" s="712"/>
      <c r="I74" s="712"/>
      <c r="J74" s="712"/>
      <c r="K74" s="786"/>
      <c r="L74" s="416">
        <v>0</v>
      </c>
      <c r="O74" s="7"/>
      <c r="P74" s="7"/>
      <c r="Q74" s="7"/>
      <c r="R74" s="7"/>
      <c r="S74" s="7"/>
      <c r="T74" s="7"/>
      <c r="U74" s="7"/>
    </row>
    <row r="75" spans="2:21" ht="12.75" customHeight="1">
      <c r="B75" s="711" t="s">
        <v>476</v>
      </c>
      <c r="C75" s="712"/>
      <c r="D75" s="712"/>
      <c r="E75" s="712"/>
      <c r="F75" s="712"/>
      <c r="G75" s="712"/>
      <c r="H75" s="712"/>
      <c r="I75" s="712"/>
      <c r="J75" s="712"/>
      <c r="K75" s="786"/>
      <c r="L75" s="416">
        <v>0</v>
      </c>
      <c r="O75" s="7"/>
      <c r="P75" s="7"/>
      <c r="Q75" s="7"/>
      <c r="R75" s="7"/>
      <c r="S75" s="7"/>
      <c r="T75" s="7"/>
      <c r="U75" s="7"/>
    </row>
    <row r="76" spans="2:21" ht="12.75" customHeight="1">
      <c r="B76" s="711" t="s">
        <v>477</v>
      </c>
      <c r="C76" s="712"/>
      <c r="D76" s="712"/>
      <c r="E76" s="712"/>
      <c r="F76" s="712"/>
      <c r="G76" s="712"/>
      <c r="H76" s="712"/>
      <c r="I76" s="712"/>
      <c r="J76" s="712"/>
      <c r="K76" s="786"/>
      <c r="L76" s="416">
        <v>0</v>
      </c>
      <c r="O76" s="7"/>
      <c r="P76" s="7"/>
      <c r="Q76" s="7"/>
      <c r="R76" s="7"/>
      <c r="S76" s="7"/>
      <c r="T76" s="7"/>
      <c r="U76" s="7"/>
    </row>
    <row r="77" spans="2:21" ht="12.75" customHeight="1">
      <c r="B77" s="711" t="s">
        <v>478</v>
      </c>
      <c r="C77" s="712"/>
      <c r="D77" s="712"/>
      <c r="E77" s="712"/>
      <c r="F77" s="712"/>
      <c r="G77" s="712"/>
      <c r="H77" s="712"/>
      <c r="I77" s="712"/>
      <c r="J77" s="712"/>
      <c r="K77" s="786"/>
      <c r="L77" s="416">
        <v>0</v>
      </c>
      <c r="O77" s="7"/>
      <c r="P77" s="7"/>
      <c r="Q77" s="7"/>
      <c r="R77" s="7"/>
      <c r="S77" s="7"/>
      <c r="T77" s="7"/>
      <c r="U77" s="7"/>
    </row>
    <row r="78" spans="2:21" ht="12.75" customHeight="1">
      <c r="B78" s="711" t="s">
        <v>479</v>
      </c>
      <c r="C78" s="712"/>
      <c r="D78" s="712"/>
      <c r="E78" s="712"/>
      <c r="F78" s="712"/>
      <c r="G78" s="712"/>
      <c r="H78" s="712"/>
      <c r="I78" s="712"/>
      <c r="J78" s="712"/>
      <c r="K78" s="786"/>
      <c r="L78" s="416">
        <v>0</v>
      </c>
      <c r="O78" s="7"/>
      <c r="P78" s="7"/>
      <c r="Q78" s="7"/>
      <c r="R78" s="7"/>
      <c r="S78" s="7"/>
      <c r="T78" s="7"/>
      <c r="U78" s="7"/>
    </row>
    <row r="79" spans="2:21" ht="12" customHeight="1">
      <c r="B79" s="711" t="s">
        <v>480</v>
      </c>
      <c r="C79" s="712"/>
      <c r="D79" s="712"/>
      <c r="E79" s="712"/>
      <c r="F79" s="712"/>
      <c r="G79" s="712"/>
      <c r="H79" s="712"/>
      <c r="I79" s="712"/>
      <c r="J79" s="712"/>
      <c r="K79" s="786"/>
      <c r="L79" s="486">
        <v>0</v>
      </c>
      <c r="N79" s="358"/>
      <c r="O79" s="7"/>
      <c r="P79" s="7"/>
      <c r="Q79" s="7"/>
      <c r="R79" s="7"/>
      <c r="S79" s="7"/>
      <c r="T79" s="7"/>
      <c r="U79" s="7"/>
    </row>
    <row r="80" spans="2:21" ht="12" customHeight="1">
      <c r="B80" s="711" t="s">
        <v>481</v>
      </c>
      <c r="C80" s="712"/>
      <c r="D80" s="712"/>
      <c r="E80" s="712"/>
      <c r="F80" s="712"/>
      <c r="G80" s="712"/>
      <c r="H80" s="712"/>
      <c r="I80" s="712"/>
      <c r="J80" s="712"/>
      <c r="K80" s="786"/>
      <c r="L80" s="416">
        <v>0</v>
      </c>
      <c r="O80" s="7"/>
      <c r="P80" s="7"/>
      <c r="Q80" s="7"/>
      <c r="R80" s="7"/>
      <c r="S80" s="7"/>
      <c r="T80" s="7"/>
      <c r="U80" s="7"/>
    </row>
    <row r="81" spans="2:21" ht="12" customHeight="1">
      <c r="B81" s="711" t="s">
        <v>482</v>
      </c>
      <c r="C81" s="712"/>
      <c r="D81" s="712"/>
      <c r="E81" s="712"/>
      <c r="F81" s="712"/>
      <c r="G81" s="712"/>
      <c r="H81" s="712"/>
      <c r="I81" s="712"/>
      <c r="J81" s="712"/>
      <c r="K81" s="786"/>
      <c r="L81" s="416">
        <v>0</v>
      </c>
      <c r="N81" s="8"/>
      <c r="O81" s="7"/>
      <c r="P81" s="7"/>
      <c r="Q81" s="7"/>
      <c r="R81" s="7"/>
      <c r="S81" s="7"/>
      <c r="T81" s="7"/>
      <c r="U81" s="7"/>
    </row>
    <row r="82" spans="2:21" ht="12" customHeight="1">
      <c r="B82" s="711" t="s">
        <v>486</v>
      </c>
      <c r="C82" s="712"/>
      <c r="D82" s="712"/>
      <c r="E82" s="712"/>
      <c r="F82" s="712"/>
      <c r="G82" s="712"/>
      <c r="H82" s="712"/>
      <c r="I82" s="712"/>
      <c r="J82" s="712"/>
      <c r="K82" s="786"/>
      <c r="L82" s="416">
        <v>0</v>
      </c>
      <c r="N82" s="8"/>
      <c r="O82" s="7"/>
      <c r="P82" s="7"/>
      <c r="Q82" s="7"/>
      <c r="R82" s="7"/>
      <c r="S82" s="7"/>
      <c r="T82" s="7"/>
      <c r="U82" s="7"/>
    </row>
    <row r="83" spans="2:21" ht="12" customHeight="1">
      <c r="B83" s="711" t="s">
        <v>487</v>
      </c>
      <c r="C83" s="712"/>
      <c r="D83" s="712"/>
      <c r="E83" s="712"/>
      <c r="F83" s="712"/>
      <c r="G83" s="712"/>
      <c r="H83" s="712"/>
      <c r="I83" s="712"/>
      <c r="J83" s="712"/>
      <c r="K83" s="786"/>
      <c r="L83" s="416">
        <v>0</v>
      </c>
      <c r="O83" s="7"/>
      <c r="P83" s="7"/>
      <c r="Q83" s="7"/>
      <c r="R83" s="7"/>
      <c r="S83" s="7"/>
      <c r="T83" s="7"/>
      <c r="U83" s="7"/>
    </row>
    <row r="84" spans="2:21" ht="12" customHeight="1">
      <c r="B84" s="711" t="s">
        <v>488</v>
      </c>
      <c r="C84" s="712"/>
      <c r="D84" s="712"/>
      <c r="E84" s="712"/>
      <c r="F84" s="712"/>
      <c r="G84" s="712"/>
      <c r="H84" s="712"/>
      <c r="I84" s="712"/>
      <c r="J84" s="712"/>
      <c r="K84" s="786"/>
      <c r="L84" s="416">
        <v>0</v>
      </c>
      <c r="N84" s="8"/>
      <c r="O84" s="7"/>
      <c r="P84" s="7"/>
      <c r="Q84" s="7"/>
      <c r="R84" s="7"/>
      <c r="S84" s="7"/>
      <c r="T84" s="7"/>
      <c r="U84" s="7"/>
    </row>
    <row r="85" spans="2:21" ht="12" customHeight="1">
      <c r="B85" s="711" t="s">
        <v>489</v>
      </c>
      <c r="C85" s="712"/>
      <c r="D85" s="712"/>
      <c r="E85" s="712"/>
      <c r="F85" s="712"/>
      <c r="G85" s="712"/>
      <c r="H85" s="712"/>
      <c r="I85" s="712"/>
      <c r="J85" s="712"/>
      <c r="K85" s="786"/>
      <c r="L85" s="416">
        <v>0</v>
      </c>
      <c r="N85" s="8"/>
      <c r="O85" s="7"/>
      <c r="P85" s="7"/>
      <c r="Q85" s="7"/>
      <c r="R85" s="7"/>
      <c r="S85" s="7"/>
      <c r="T85" s="7"/>
      <c r="U85" s="7"/>
    </row>
    <row r="86" spans="2:21" ht="12" customHeight="1">
      <c r="B86" s="711" t="s">
        <v>490</v>
      </c>
      <c r="C86" s="712"/>
      <c r="D86" s="712"/>
      <c r="E86" s="712"/>
      <c r="F86" s="712"/>
      <c r="G86" s="712"/>
      <c r="H86" s="712"/>
      <c r="I86" s="712"/>
      <c r="J86" s="712"/>
      <c r="K86" s="786"/>
      <c r="L86" s="416">
        <v>0</v>
      </c>
      <c r="N86" s="8"/>
      <c r="O86" s="7"/>
      <c r="P86" s="7"/>
      <c r="Q86" s="7"/>
      <c r="R86" s="7"/>
      <c r="S86" s="7"/>
      <c r="T86" s="7"/>
      <c r="U86" s="7"/>
    </row>
    <row r="87" spans="2:21" ht="12" customHeight="1">
      <c r="B87" s="787" t="s">
        <v>491</v>
      </c>
      <c r="C87" s="787"/>
      <c r="D87" s="787"/>
      <c r="E87" s="787"/>
      <c r="F87" s="787"/>
      <c r="G87" s="787"/>
      <c r="H87" s="787"/>
      <c r="I87" s="787"/>
      <c r="J87" s="787"/>
      <c r="K87" s="787"/>
      <c r="L87" s="416">
        <v>0</v>
      </c>
      <c r="O87" s="7"/>
      <c r="P87" s="7"/>
      <c r="Q87" s="7"/>
      <c r="R87" s="7"/>
      <c r="S87" s="7"/>
      <c r="T87" s="7"/>
      <c r="U87" s="7"/>
    </row>
    <row r="88" spans="2:21" ht="12" customHeight="1" hidden="1">
      <c r="B88" s="787" t="s">
        <v>1075</v>
      </c>
      <c r="C88" s="787"/>
      <c r="D88" s="787"/>
      <c r="E88" s="787"/>
      <c r="F88" s="787"/>
      <c r="G88" s="787"/>
      <c r="H88" s="787"/>
      <c r="I88" s="787"/>
      <c r="J88" s="787"/>
      <c r="K88" s="787"/>
      <c r="L88" s="416">
        <v>0</v>
      </c>
      <c r="O88" s="7"/>
      <c r="P88" s="7"/>
      <c r="Q88" s="7"/>
      <c r="R88" s="7"/>
      <c r="S88" s="7"/>
      <c r="T88" s="7"/>
      <c r="U88" s="7"/>
    </row>
    <row r="89" spans="2:21" ht="12" customHeight="1" hidden="1">
      <c r="B89" s="787" t="s">
        <v>576</v>
      </c>
      <c r="C89" s="787"/>
      <c r="D89" s="787"/>
      <c r="E89" s="787"/>
      <c r="F89" s="787"/>
      <c r="G89" s="787"/>
      <c r="H89" s="787"/>
      <c r="I89" s="787"/>
      <c r="J89" s="787"/>
      <c r="K89" s="787"/>
      <c r="L89" s="416">
        <v>0</v>
      </c>
      <c r="O89" s="7"/>
      <c r="P89" s="7"/>
      <c r="Q89" s="7"/>
      <c r="R89" s="7"/>
      <c r="S89" s="7"/>
      <c r="T89" s="7"/>
      <c r="U89" s="7"/>
    </row>
    <row r="90" spans="2:12" ht="13.5">
      <c r="B90" s="711" t="s">
        <v>492</v>
      </c>
      <c r="C90" s="712"/>
      <c r="D90" s="712"/>
      <c r="E90" s="712"/>
      <c r="F90" s="712"/>
      <c r="G90" s="712"/>
      <c r="H90" s="712"/>
      <c r="I90" s="712"/>
      <c r="J90" s="712"/>
      <c r="K90" s="786"/>
      <c r="L90" s="416">
        <v>0</v>
      </c>
    </row>
    <row r="91" spans="2:12" ht="13.5">
      <c r="B91" s="711" t="s">
        <v>493</v>
      </c>
      <c r="C91" s="712"/>
      <c r="D91" s="712"/>
      <c r="E91" s="712"/>
      <c r="F91" s="712"/>
      <c r="G91" s="712"/>
      <c r="H91" s="712"/>
      <c r="I91" s="712"/>
      <c r="J91" s="712"/>
      <c r="K91" s="786"/>
      <c r="L91" s="416">
        <v>0</v>
      </c>
    </row>
    <row r="92" spans="2:12" ht="13.5">
      <c r="B92" s="711" t="s">
        <v>494</v>
      </c>
      <c r="C92" s="712"/>
      <c r="D92" s="712"/>
      <c r="E92" s="712"/>
      <c r="F92" s="712"/>
      <c r="G92" s="712"/>
      <c r="H92" s="712"/>
      <c r="I92" s="712"/>
      <c r="J92" s="712"/>
      <c r="K92" s="786"/>
      <c r="L92" s="416">
        <v>0</v>
      </c>
    </row>
    <row r="93" spans="2:12" ht="13.5">
      <c r="B93" s="711" t="s">
        <v>495</v>
      </c>
      <c r="C93" s="712"/>
      <c r="D93" s="712"/>
      <c r="E93" s="712"/>
      <c r="F93" s="712"/>
      <c r="G93" s="712"/>
      <c r="H93" s="712"/>
      <c r="I93" s="712"/>
      <c r="J93" s="712"/>
      <c r="K93" s="786"/>
      <c r="L93" s="416">
        <v>0</v>
      </c>
    </row>
    <row r="94" spans="2:12" ht="13.5">
      <c r="B94" s="711" t="s">
        <v>496</v>
      </c>
      <c r="C94" s="712"/>
      <c r="D94" s="712"/>
      <c r="E94" s="712"/>
      <c r="F94" s="712"/>
      <c r="G94" s="712"/>
      <c r="H94" s="712"/>
      <c r="I94" s="712"/>
      <c r="J94" s="712"/>
      <c r="K94" s="786"/>
      <c r="L94" s="416">
        <v>0</v>
      </c>
    </row>
    <row r="95" spans="2:12" ht="13.5" customHeight="1">
      <c r="B95" s="711" t="s">
        <v>498</v>
      </c>
      <c r="C95" s="712"/>
      <c r="D95" s="712"/>
      <c r="E95" s="712"/>
      <c r="F95" s="712"/>
      <c r="G95" s="712"/>
      <c r="H95" s="712"/>
      <c r="I95" s="712"/>
      <c r="J95" s="712"/>
      <c r="K95" s="786"/>
      <c r="L95" s="416">
        <v>0</v>
      </c>
    </row>
    <row r="96" spans="2:12" ht="13.5" customHeight="1">
      <c r="B96" s="711" t="s">
        <v>497</v>
      </c>
      <c r="C96" s="712"/>
      <c r="D96" s="712"/>
      <c r="E96" s="712"/>
      <c r="F96" s="712"/>
      <c r="G96" s="712"/>
      <c r="H96" s="712"/>
      <c r="I96" s="712"/>
      <c r="J96" s="712"/>
      <c r="K96" s="786"/>
      <c r="L96" s="416">
        <v>0</v>
      </c>
    </row>
    <row r="97" spans="2:12" ht="13.5">
      <c r="B97" s="787" t="s">
        <v>499</v>
      </c>
      <c r="C97" s="787"/>
      <c r="D97" s="787"/>
      <c r="E97" s="787"/>
      <c r="F97" s="787"/>
      <c r="G97" s="787"/>
      <c r="H97" s="787"/>
      <c r="I97" s="787"/>
      <c r="J97" s="787"/>
      <c r="K97" s="787"/>
      <c r="L97" s="416">
        <v>0</v>
      </c>
    </row>
    <row r="98" spans="2:12" ht="13.5">
      <c r="B98" s="711" t="s">
        <v>500</v>
      </c>
      <c r="C98" s="712"/>
      <c r="D98" s="712"/>
      <c r="E98" s="712"/>
      <c r="F98" s="712"/>
      <c r="G98" s="712"/>
      <c r="H98" s="712"/>
      <c r="I98" s="712"/>
      <c r="J98" s="712"/>
      <c r="K98" s="786"/>
      <c r="L98" s="416">
        <v>0</v>
      </c>
    </row>
    <row r="99" spans="2:12" ht="13.5">
      <c r="B99" s="711" t="s">
        <v>501</v>
      </c>
      <c r="C99" s="712"/>
      <c r="D99" s="712"/>
      <c r="E99" s="712"/>
      <c r="F99" s="712"/>
      <c r="G99" s="712"/>
      <c r="H99" s="712"/>
      <c r="I99" s="712"/>
      <c r="J99" s="712"/>
      <c r="K99" s="786"/>
      <c r="L99" s="416">
        <v>0</v>
      </c>
    </row>
    <row r="100" spans="2:12" ht="13.5">
      <c r="B100" s="711" t="s">
        <v>502</v>
      </c>
      <c r="C100" s="712"/>
      <c r="D100" s="712"/>
      <c r="E100" s="712"/>
      <c r="F100" s="712"/>
      <c r="G100" s="712"/>
      <c r="H100" s="712"/>
      <c r="I100" s="712"/>
      <c r="J100" s="712"/>
      <c r="K100" s="786"/>
      <c r="L100" s="416">
        <v>0</v>
      </c>
    </row>
    <row r="101" spans="2:12" ht="13.5">
      <c r="B101" s="711" t="s">
        <v>503</v>
      </c>
      <c r="C101" s="712"/>
      <c r="D101" s="712"/>
      <c r="E101" s="712"/>
      <c r="F101" s="712"/>
      <c r="G101" s="712"/>
      <c r="H101" s="712"/>
      <c r="I101" s="712"/>
      <c r="J101" s="712"/>
      <c r="K101" s="786"/>
      <c r="L101" s="416">
        <v>0</v>
      </c>
    </row>
    <row r="102" spans="2:12" ht="13.5">
      <c r="B102" s="711" t="s">
        <v>504</v>
      </c>
      <c r="C102" s="712"/>
      <c r="D102" s="712"/>
      <c r="E102" s="712"/>
      <c r="F102" s="712"/>
      <c r="G102" s="712"/>
      <c r="H102" s="712"/>
      <c r="I102" s="712"/>
      <c r="J102" s="712"/>
      <c r="K102" s="786"/>
      <c r="L102" s="416">
        <v>0</v>
      </c>
    </row>
    <row r="103" spans="2:12" ht="13.5" customHeight="1">
      <c r="B103" s="711" t="s">
        <v>505</v>
      </c>
      <c r="C103" s="712"/>
      <c r="D103" s="712"/>
      <c r="E103" s="712"/>
      <c r="F103" s="712"/>
      <c r="G103" s="712"/>
      <c r="H103" s="712"/>
      <c r="I103" s="712"/>
      <c r="J103" s="712"/>
      <c r="K103" s="786"/>
      <c r="L103" s="416">
        <v>0</v>
      </c>
    </row>
    <row r="104" spans="2:12" ht="13.5" customHeight="1">
      <c r="B104" s="711" t="s">
        <v>506</v>
      </c>
      <c r="C104" s="712"/>
      <c r="D104" s="712"/>
      <c r="E104" s="712"/>
      <c r="F104" s="712"/>
      <c r="G104" s="712"/>
      <c r="H104" s="712"/>
      <c r="I104" s="712"/>
      <c r="J104" s="712"/>
      <c r="K104" s="786"/>
      <c r="L104" s="416">
        <v>0</v>
      </c>
    </row>
    <row r="105" spans="2:12" ht="13.5">
      <c r="B105" s="787" t="s">
        <v>507</v>
      </c>
      <c r="C105" s="787"/>
      <c r="D105" s="787"/>
      <c r="E105" s="787"/>
      <c r="F105" s="787"/>
      <c r="G105" s="787"/>
      <c r="H105" s="787"/>
      <c r="I105" s="787"/>
      <c r="J105" s="787"/>
      <c r="K105" s="787"/>
      <c r="L105" s="416">
        <v>0</v>
      </c>
    </row>
    <row r="106" spans="2:12" ht="13.5" customHeight="1">
      <c r="B106" s="711" t="s">
        <v>508</v>
      </c>
      <c r="C106" s="712"/>
      <c r="D106" s="712"/>
      <c r="E106" s="712"/>
      <c r="F106" s="712"/>
      <c r="G106" s="712"/>
      <c r="H106" s="712"/>
      <c r="I106" s="712"/>
      <c r="J106" s="712"/>
      <c r="K106" s="786"/>
      <c r="L106" s="416">
        <v>0</v>
      </c>
    </row>
    <row r="107" spans="2:1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8" ht="12.75">
      <c r="B138" s="2"/>
      <c r="C138" s="2"/>
      <c r="D138" s="2"/>
      <c r="E138" s="2"/>
      <c r="F138" s="2"/>
      <c r="G138" s="2"/>
      <c r="H138" s="2"/>
    </row>
  </sheetData>
  <sheetProtection selectLockedCells="1"/>
  <mergeCells count="98">
    <mergeCell ref="I5:L5"/>
    <mergeCell ref="J66:L66"/>
    <mergeCell ref="B30:I30"/>
    <mergeCell ref="B31:I31"/>
    <mergeCell ref="I12:J12"/>
    <mergeCell ref="B26:I26"/>
    <mergeCell ref="I14:J14"/>
    <mergeCell ref="B25:I25"/>
    <mergeCell ref="B18:L18"/>
    <mergeCell ref="B16:L16"/>
    <mergeCell ref="E1:J2"/>
    <mergeCell ref="B8:E8"/>
    <mergeCell ref="B3:L3"/>
    <mergeCell ref="I4:L4"/>
    <mergeCell ref="B4:G4"/>
    <mergeCell ref="B6:G6"/>
    <mergeCell ref="I6:L6"/>
    <mergeCell ref="B5:G5"/>
    <mergeCell ref="I8:J10"/>
    <mergeCell ref="B10:E10"/>
    <mergeCell ref="C12:D12"/>
    <mergeCell ref="B17:L17"/>
    <mergeCell ref="C14:E14"/>
    <mergeCell ref="B47:I47"/>
    <mergeCell ref="B23:I23"/>
    <mergeCell ref="B32:I32"/>
    <mergeCell ref="B41:I41"/>
    <mergeCell ref="B36:I36"/>
    <mergeCell ref="B34:I34"/>
    <mergeCell ref="B35:I35"/>
    <mergeCell ref="B48:I48"/>
    <mergeCell ref="B49:I49"/>
    <mergeCell ref="B65:H65"/>
    <mergeCell ref="B56:G57"/>
    <mergeCell ref="B64:L64"/>
    <mergeCell ref="B50:I50"/>
    <mergeCell ref="B51:I51"/>
    <mergeCell ref="B52:I52"/>
    <mergeCell ref="B53:I53"/>
    <mergeCell ref="B39:I39"/>
    <mergeCell ref="B40:I40"/>
    <mergeCell ref="B27:K27"/>
    <mergeCell ref="B46:L46"/>
    <mergeCell ref="B43:I43"/>
    <mergeCell ref="B44:I44"/>
    <mergeCell ref="B42:I42"/>
    <mergeCell ref="B45:I45"/>
    <mergeCell ref="B29:I29"/>
    <mergeCell ref="B20:I20"/>
    <mergeCell ref="B83:K83"/>
    <mergeCell ref="I56:K56"/>
    <mergeCell ref="I57:K57"/>
    <mergeCell ref="I58:K58"/>
    <mergeCell ref="B81:K81"/>
    <mergeCell ref="B22:I22"/>
    <mergeCell ref="B66:H66"/>
    <mergeCell ref="B24:I24"/>
    <mergeCell ref="B38:I38"/>
    <mergeCell ref="B88:K88"/>
    <mergeCell ref="B70:K70"/>
    <mergeCell ref="B71:K71"/>
    <mergeCell ref="B72:K72"/>
    <mergeCell ref="B73:K73"/>
    <mergeCell ref="B74:K74"/>
    <mergeCell ref="B75:K75"/>
    <mergeCell ref="B76:K76"/>
    <mergeCell ref="B85:K85"/>
    <mergeCell ref="B79:K79"/>
    <mergeCell ref="B87:K87"/>
    <mergeCell ref="B86:K86"/>
    <mergeCell ref="B84:K84"/>
    <mergeCell ref="B54:I54"/>
    <mergeCell ref="B58:C58"/>
    <mergeCell ref="B80:K80"/>
    <mergeCell ref="B82:K82"/>
    <mergeCell ref="B63:C63"/>
    <mergeCell ref="I63:K63"/>
    <mergeCell ref="B69:K69"/>
    <mergeCell ref="B77:K77"/>
    <mergeCell ref="B78:K78"/>
    <mergeCell ref="B101:K101"/>
    <mergeCell ref="B90:K90"/>
    <mergeCell ref="B91:K91"/>
    <mergeCell ref="B92:K92"/>
    <mergeCell ref="B93:K93"/>
    <mergeCell ref="B94:K94"/>
    <mergeCell ref="B95:K95"/>
    <mergeCell ref="B89:K89"/>
    <mergeCell ref="B106:K106"/>
    <mergeCell ref="B96:K96"/>
    <mergeCell ref="B97:K97"/>
    <mergeCell ref="B98:K98"/>
    <mergeCell ref="B99:K99"/>
    <mergeCell ref="B100:K100"/>
    <mergeCell ref="B102:K102"/>
    <mergeCell ref="B103:K103"/>
    <mergeCell ref="B104:K104"/>
    <mergeCell ref="B105:K105"/>
  </mergeCells>
  <conditionalFormatting sqref="L60 L62">
    <cfRule type="expression" priority="1" dxfId="67" stopIfTrue="1">
      <formula>OR($K$36&gt;0,#REF!&gt;0,#REF!&gt;0,#REF!&gt;0,$K$24&gt;0,$K$26&gt;0)</formula>
    </cfRule>
    <cfRule type="expression" priority="2" dxfId="65" stopIfTrue="1">
      <formula>AND($K$23&lt;9,#REF!&lt;9)</formula>
    </cfRule>
  </conditionalFormatting>
  <conditionalFormatting sqref="J66:L66 K40:K42 K36 K44:K45 K48:K50 K52:K54 C14:E14 K32 K23:K25 K29 L10 L8 B10:E10 L12:N12">
    <cfRule type="cellIs" priority="3" dxfId="67" operator="notEqual" stopIfTrue="1">
      <formula>0</formula>
    </cfRule>
  </conditionalFormatting>
  <conditionalFormatting sqref="B40:J42 L40:L42 B48:J50 L48:L50 B52:J54 L52:L54">
    <cfRule type="expression" priority="4" dxfId="68" stopIfTrue="1">
      <formula>($A$39)=FALSE</formula>
    </cfRule>
  </conditionalFormatting>
  <conditionalFormatting sqref="B44:J45 L44:L45">
    <cfRule type="expression" priority="5" dxfId="68" stopIfTrue="1">
      <formula>($A$43)=FALSE</formula>
    </cfRule>
  </conditionalFormatting>
  <conditionalFormatting sqref="L35:L36 B36:J36">
    <cfRule type="expression" priority="6" dxfId="68" stopIfTrue="1">
      <formula>($A$34)=FALSE</formula>
    </cfRule>
  </conditionalFormatting>
  <conditionalFormatting sqref="B35:J35">
    <cfRule type="expression" priority="7" dxfId="68" stopIfTrue="1">
      <formula>($A$34)=FALSE</formula>
    </cfRule>
    <cfRule type="expression" priority="8" dxfId="69" stopIfTrue="1">
      <formula>OR($K$23,$K$24,$K$25,#REF!)&gt;0</formula>
    </cfRule>
  </conditionalFormatting>
  <conditionalFormatting sqref="K35">
    <cfRule type="cellIs" priority="9" dxfId="69" operator="notEqual" stopIfTrue="1">
      <formula>0</formula>
    </cfRule>
  </conditionalFormatting>
  <conditionalFormatting sqref="L28">
    <cfRule type="expression" priority="10" dxfId="65" stopIfTrue="1">
      <formula>$K$23&lt;16</formula>
    </cfRule>
  </conditionalFormatting>
  <conditionalFormatting sqref="B27:L27">
    <cfRule type="expression" priority="11" dxfId="67" stopIfTrue="1">
      <formula>OR($K$24&gt;0,$K$26&gt;0)</formula>
    </cfRule>
    <cfRule type="expression" priority="12" dxfId="65" stopIfTrue="1">
      <formula>AND($K$23&lt;9,#REF!&lt;9)</formula>
    </cfRule>
    <cfRule type="expression" priority="13" dxfId="68" stopIfTrue="1">
      <formula>($A$22)=FALSE</formula>
    </cfRule>
  </conditionalFormatting>
  <conditionalFormatting sqref="B32:J32 L24">
    <cfRule type="expression" priority="14" dxfId="68" stopIfTrue="1">
      <formula>($A$30)=FALSE</formula>
    </cfRule>
  </conditionalFormatting>
  <conditionalFormatting sqref="N14">
    <cfRule type="cellIs" priority="15" dxfId="65" operator="equal" stopIfTrue="1">
      <formula>0</formula>
    </cfRule>
  </conditionalFormatting>
  <conditionalFormatting sqref="B17:L18">
    <cfRule type="cellIs" priority="16" dxfId="65" operator="equal" stopIfTrue="1">
      <formula>0</formula>
    </cfRule>
  </conditionalFormatting>
  <conditionalFormatting sqref="B23:J25 L29 L25 B29:J29 L23 L32">
    <cfRule type="expression" priority="17" dxfId="68" stopIfTrue="1">
      <formula>($A$22)=FALSE</formula>
    </cfRule>
  </conditionalFormatting>
  <conditionalFormatting sqref="J20:L20">
    <cfRule type="expression" priority="18" dxfId="68" stopIfTrue="1">
      <formula>($A$20)=FALSE</formula>
    </cfRule>
  </conditionalFormatting>
  <dataValidations count="1">
    <dataValidation operator="greaterThan" allowBlank="1" showInputMessage="1" showErrorMessage="1" sqref="K23:K25 K29"/>
  </dataValidations>
  <printOptions horizontalCentered="1"/>
  <pageMargins left="0.5905511811023623" right="0.3937007874015748" top="0.5905511811023623" bottom="0.5905511811023623" header="0.31496062992125984" footer="0.31496062992125984"/>
  <pageSetup fitToHeight="2" horizontalDpi="1200" verticalDpi="1200" orientation="portrait" paperSize="9" scale="94" r:id="rId3"/>
  <headerFooter alignWithMargins="0">
    <oddHeader>&amp;RСтраница 2 из 2</oddHeader>
  </headerFooter>
  <rowBreaks count="1" manualBreakCount="1">
    <brk id="68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Y181"/>
  <sheetViews>
    <sheetView zoomScale="120" zoomScaleNormal="120" zoomScaleSheetLayoutView="75" zoomScalePageLayoutView="0" workbookViewId="0" topLeftCell="A104">
      <selection activeCell="D13" sqref="D13:K13"/>
    </sheetView>
  </sheetViews>
  <sheetFormatPr defaultColWidth="9.00390625" defaultRowHeight="12.75"/>
  <cols>
    <col min="1" max="3" width="9.125" style="1" customWidth="1"/>
    <col min="4" max="4" width="10.75390625" style="1" customWidth="1"/>
    <col min="5" max="5" width="8.75390625" style="1" customWidth="1"/>
    <col min="6" max="6" width="9.625" style="1" customWidth="1"/>
    <col min="7" max="7" width="9.375" style="1" customWidth="1"/>
    <col min="8" max="9" width="8.75390625" style="1" customWidth="1"/>
    <col min="10" max="10" width="12.625" style="1" customWidth="1"/>
    <col min="11" max="11" width="13.875" style="1" customWidth="1"/>
    <col min="12" max="12" width="4.75390625" style="7" customWidth="1"/>
    <col min="13" max="25" width="9.125" style="7" customWidth="1"/>
    <col min="26" max="16384" width="9.125" style="1" customWidth="1"/>
  </cols>
  <sheetData>
    <row r="1" spans="1:11" ht="19.5" customHeight="1">
      <c r="A1" s="874" t="str">
        <f>CONCATENATE('содержание '!C77)</f>
        <v>Международная выставка вооружения и оборонных технологий "ArmHiTec-2016"</v>
      </c>
      <c r="B1" s="874"/>
      <c r="C1" s="874"/>
      <c r="D1" s="874"/>
      <c r="E1" s="874"/>
      <c r="F1" s="874"/>
      <c r="G1" s="874"/>
      <c r="H1" s="874"/>
      <c r="I1" s="424"/>
      <c r="J1" s="424"/>
      <c r="K1" s="424"/>
    </row>
    <row r="2" spans="1:11" ht="26.25" customHeight="1" thickBot="1">
      <c r="A2" s="875"/>
      <c r="B2" s="875"/>
      <c r="C2" s="875"/>
      <c r="D2" s="875"/>
      <c r="E2" s="875"/>
      <c r="F2" s="875"/>
      <c r="G2" s="875"/>
      <c r="H2" s="875"/>
      <c r="I2" s="425"/>
      <c r="J2" s="425"/>
      <c r="K2" s="425"/>
    </row>
    <row r="3" spans="1:17" ht="2.25" customHeight="1">
      <c r="A3" s="22"/>
      <c r="B3" s="22"/>
      <c r="C3" s="22"/>
      <c r="D3" s="22"/>
      <c r="E3" s="372"/>
      <c r="F3" s="372"/>
      <c r="G3" s="372"/>
      <c r="H3" s="372"/>
      <c r="I3" s="372"/>
      <c r="J3" s="372"/>
      <c r="K3" s="372"/>
      <c r="M3" s="941" t="s">
        <v>1103</v>
      </c>
      <c r="N3" s="942"/>
      <c r="O3" s="942"/>
      <c r="P3" s="942"/>
      <c r="Q3" s="943"/>
    </row>
    <row r="4" spans="1:25" s="4" customFormat="1" ht="17.25" customHeight="1">
      <c r="A4" s="950" t="s">
        <v>426</v>
      </c>
      <c r="B4" s="951"/>
      <c r="C4" s="952"/>
      <c r="D4" s="953"/>
      <c r="E4" s="953"/>
      <c r="F4" s="271" t="str">
        <f>CONCATENATE('содержание '!C104)</f>
        <v>/AHT</v>
      </c>
      <c r="G4" s="22"/>
      <c r="H4" s="541"/>
      <c r="I4" s="542"/>
      <c r="J4" s="543"/>
      <c r="K4" s="544"/>
      <c r="L4" s="22"/>
      <c r="M4" s="944"/>
      <c r="N4" s="945"/>
      <c r="O4" s="945"/>
      <c r="P4" s="945"/>
      <c r="Q4" s="946"/>
      <c r="R4" s="22"/>
      <c r="S4" s="22"/>
      <c r="T4" s="22"/>
      <c r="U4" s="22"/>
      <c r="V4" s="22"/>
      <c r="W4" s="22"/>
      <c r="X4" s="22"/>
      <c r="Y4" s="22"/>
    </row>
    <row r="5" spans="1:17" ht="2.25" customHeight="1">
      <c r="A5" s="7"/>
      <c r="B5" s="151"/>
      <c r="C5" s="151"/>
      <c r="D5" s="151"/>
      <c r="E5" s="151"/>
      <c r="F5" s="151"/>
      <c r="G5" s="151"/>
      <c r="H5" s="151"/>
      <c r="I5" s="151"/>
      <c r="J5" s="151"/>
      <c r="K5" s="151"/>
      <c r="M5" s="944"/>
      <c r="N5" s="945"/>
      <c r="O5" s="945"/>
      <c r="P5" s="945"/>
      <c r="Q5" s="946"/>
    </row>
    <row r="6" spans="1:17" ht="18" customHeight="1">
      <c r="A6" s="394" t="s">
        <v>950</v>
      </c>
      <c r="B6" s="394"/>
      <c r="C6" s="954">
        <f>CONCATENATE('Заявка стр. 2'!B10)</f>
      </c>
      <c r="D6" s="954"/>
      <c r="E6" s="954"/>
      <c r="F6" s="954"/>
      <c r="G6" s="45"/>
      <c r="H6" s="401" t="s">
        <v>423</v>
      </c>
      <c r="I6" s="883" t="s">
        <v>1059</v>
      </c>
      <c r="J6" s="883"/>
      <c r="K6" s="545" t="s">
        <v>259</v>
      </c>
      <c r="M6" s="944"/>
      <c r="N6" s="945"/>
      <c r="O6" s="945"/>
      <c r="P6" s="945"/>
      <c r="Q6" s="946"/>
    </row>
    <row r="7" spans="1:17" ht="11.25" customHeight="1">
      <c r="A7" s="213"/>
      <c r="B7" s="213"/>
      <c r="C7" s="395" t="s">
        <v>641</v>
      </c>
      <c r="D7" s="213"/>
      <c r="E7" s="213"/>
      <c r="F7" s="213"/>
      <c r="G7" s="213"/>
      <c r="H7" s="238" t="s">
        <v>420</v>
      </c>
      <c r="I7" s="885" t="s">
        <v>421</v>
      </c>
      <c r="J7" s="885"/>
      <c r="K7" s="546" t="s">
        <v>422</v>
      </c>
      <c r="M7" s="944"/>
      <c r="N7" s="945"/>
      <c r="O7" s="945"/>
      <c r="P7" s="945"/>
      <c r="Q7" s="946"/>
    </row>
    <row r="8" spans="1:17" ht="30" customHeight="1">
      <c r="A8" s="867" t="str">
        <f>CONCATENATE('Заявка стр. 1'!B3)</f>
        <v>АО "Научно-производственный центр "Вигстар"</v>
      </c>
      <c r="B8" s="868"/>
      <c r="C8" s="868"/>
      <c r="D8" s="868"/>
      <c r="E8" s="868"/>
      <c r="F8" s="868"/>
      <c r="G8" s="868"/>
      <c r="H8" s="868"/>
      <c r="I8" s="868"/>
      <c r="J8" s="868"/>
      <c r="K8" s="869"/>
      <c r="M8" s="944"/>
      <c r="N8" s="945"/>
      <c r="O8" s="945"/>
      <c r="P8" s="945"/>
      <c r="Q8" s="946"/>
    </row>
    <row r="9" spans="1:17" s="58" customFormat="1" ht="14.25" customHeight="1">
      <c r="A9" s="466" t="s">
        <v>323</v>
      </c>
      <c r="B9" s="56"/>
      <c r="C9" s="56"/>
      <c r="D9" s="56"/>
      <c r="E9" s="56"/>
      <c r="F9" s="56"/>
      <c r="G9" s="56"/>
      <c r="H9" s="56"/>
      <c r="I9" s="56"/>
      <c r="J9" s="56"/>
      <c r="K9" s="57"/>
      <c r="M9" s="944"/>
      <c r="N9" s="945"/>
      <c r="O9" s="945"/>
      <c r="P9" s="945"/>
      <c r="Q9" s="946"/>
    </row>
    <row r="10" spans="1:17" ht="12.75" customHeight="1">
      <c r="A10" s="55" t="s">
        <v>893</v>
      </c>
      <c r="B10" s="45"/>
      <c r="C10" s="871" t="str">
        <f>CONCATENATE('Заявка стр. 1'!B10)</f>
        <v>117545, Москва, 1-й Дорожный проезд, д.8</v>
      </c>
      <c r="D10" s="871"/>
      <c r="E10" s="871"/>
      <c r="F10" s="871"/>
      <c r="G10" s="871"/>
      <c r="H10" s="871"/>
      <c r="I10" s="871"/>
      <c r="J10" s="871"/>
      <c r="K10" s="872"/>
      <c r="M10" s="944"/>
      <c r="N10" s="945"/>
      <c r="O10" s="945"/>
      <c r="P10" s="945"/>
      <c r="Q10" s="946"/>
    </row>
    <row r="11" spans="1:17" ht="12.75" customHeight="1">
      <c r="A11" s="55" t="s">
        <v>978</v>
      </c>
      <c r="B11" s="870" t="str">
        <f>CONCATENATE('Заявка стр. 1'!B21)</f>
        <v>(495) 276-52-01</v>
      </c>
      <c r="C11" s="870"/>
      <c r="D11" s="349" t="s">
        <v>189</v>
      </c>
      <c r="E11" s="884" t="str">
        <f>CONCATENATE('Заявка стр. 1'!D21)</f>
        <v>(495) 276-52-03</v>
      </c>
      <c r="F11" s="884"/>
      <c r="G11" s="349" t="s">
        <v>245</v>
      </c>
      <c r="H11" s="884" t="str">
        <f>CONCATENATE('Заявка стр. 1'!D22)</f>
        <v>www.vigstar.ru</v>
      </c>
      <c r="I11" s="884"/>
      <c r="J11" s="884"/>
      <c r="K11" s="886"/>
      <c r="M11" s="944"/>
      <c r="N11" s="945"/>
      <c r="O11" s="945"/>
      <c r="P11" s="945"/>
      <c r="Q11" s="946"/>
    </row>
    <row r="12" spans="1:17" ht="12.75" customHeight="1">
      <c r="A12" s="55" t="s">
        <v>894</v>
      </c>
      <c r="B12" s="862" t="s">
        <v>1132</v>
      </c>
      <c r="C12" s="862"/>
      <c r="D12" s="862"/>
      <c r="E12" s="862"/>
      <c r="F12" s="862"/>
      <c r="G12" s="862"/>
      <c r="H12" s="862"/>
      <c r="I12" s="862"/>
      <c r="J12" s="862"/>
      <c r="K12" s="863"/>
      <c r="M12" s="944"/>
      <c r="N12" s="945"/>
      <c r="O12" s="945"/>
      <c r="P12" s="945"/>
      <c r="Q12" s="946"/>
    </row>
    <row r="13" spans="1:17" ht="12.75" customHeight="1">
      <c r="A13" s="55" t="s">
        <v>895</v>
      </c>
      <c r="B13" s="22"/>
      <c r="C13" s="22"/>
      <c r="D13" s="862" t="s">
        <v>1133</v>
      </c>
      <c r="E13" s="862"/>
      <c r="F13" s="862"/>
      <c r="G13" s="862"/>
      <c r="H13" s="862"/>
      <c r="I13" s="862"/>
      <c r="J13" s="862"/>
      <c r="K13" s="863"/>
      <c r="M13" s="944"/>
      <c r="N13" s="945"/>
      <c r="O13" s="945"/>
      <c r="P13" s="945"/>
      <c r="Q13" s="946"/>
    </row>
    <row r="14" spans="1:17" ht="14.25" customHeight="1">
      <c r="A14" s="55" t="s">
        <v>908</v>
      </c>
      <c r="B14" s="22"/>
      <c r="C14" s="22"/>
      <c r="D14" s="22"/>
      <c r="E14" s="22"/>
      <c r="F14" s="22"/>
      <c r="G14" s="22"/>
      <c r="H14" s="22"/>
      <c r="I14" s="22"/>
      <c r="J14" s="22"/>
      <c r="K14" s="61"/>
      <c r="M14" s="944"/>
      <c r="N14" s="945"/>
      <c r="O14" s="945"/>
      <c r="P14" s="945"/>
      <c r="Q14" s="946"/>
    </row>
    <row r="15" spans="1:17" ht="12.75" customHeight="1">
      <c r="A15" s="55" t="s">
        <v>354</v>
      </c>
      <c r="B15" s="22"/>
      <c r="C15" s="22"/>
      <c r="D15" s="22"/>
      <c r="E15" s="22"/>
      <c r="F15" s="22"/>
      <c r="G15" s="22"/>
      <c r="H15" s="22"/>
      <c r="I15" s="22"/>
      <c r="J15" s="22"/>
      <c r="K15" s="61"/>
      <c r="M15" s="944"/>
      <c r="N15" s="945"/>
      <c r="O15" s="945"/>
      <c r="P15" s="945"/>
      <c r="Q15" s="946"/>
    </row>
    <row r="16" spans="1:17" ht="12.75" customHeight="1">
      <c r="A16" s="55" t="s">
        <v>355</v>
      </c>
      <c r="B16" s="22"/>
      <c r="C16" s="22"/>
      <c r="D16" s="22"/>
      <c r="E16" s="22"/>
      <c r="F16" s="22"/>
      <c r="G16" s="22"/>
      <c r="H16" s="22"/>
      <c r="I16" s="22"/>
      <c r="J16" s="22"/>
      <c r="K16" s="61"/>
      <c r="M16" s="944"/>
      <c r="N16" s="945"/>
      <c r="O16" s="945"/>
      <c r="P16" s="945"/>
      <c r="Q16" s="946"/>
    </row>
    <row r="17" spans="1:17" ht="14.25" customHeight="1">
      <c r="A17" s="62"/>
      <c r="B17" s="63" t="s">
        <v>896</v>
      </c>
      <c r="C17" s="22"/>
      <c r="D17" s="22"/>
      <c r="E17" s="22"/>
      <c r="F17" s="22"/>
      <c r="G17" s="22"/>
      <c r="H17" s="22"/>
      <c r="I17" s="22"/>
      <c r="J17" s="22"/>
      <c r="K17" s="61"/>
      <c r="M17" s="944"/>
      <c r="N17" s="945"/>
      <c r="O17" s="945"/>
      <c r="P17" s="945"/>
      <c r="Q17" s="946"/>
    </row>
    <row r="18" spans="1:17" ht="14.25" customHeight="1">
      <c r="A18" s="864" t="s">
        <v>726</v>
      </c>
      <c r="B18" s="865"/>
      <c r="C18" s="865"/>
      <c r="D18" s="865"/>
      <c r="E18" s="865"/>
      <c r="F18" s="865"/>
      <c r="G18" s="865"/>
      <c r="H18" s="865"/>
      <c r="I18" s="865"/>
      <c r="J18" s="865"/>
      <c r="K18" s="866"/>
      <c r="M18" s="944"/>
      <c r="N18" s="945"/>
      <c r="O18" s="945"/>
      <c r="P18" s="945"/>
      <c r="Q18" s="946"/>
    </row>
    <row r="19" spans="1:17" ht="12.75" customHeight="1">
      <c r="A19" s="864" t="s">
        <v>727</v>
      </c>
      <c r="B19" s="865"/>
      <c r="C19" s="865"/>
      <c r="D19" s="865"/>
      <c r="E19" s="865"/>
      <c r="F19" s="865"/>
      <c r="G19" s="865"/>
      <c r="H19" s="865"/>
      <c r="I19" s="865"/>
      <c r="J19" s="865"/>
      <c r="K19" s="866"/>
      <c r="M19" s="944"/>
      <c r="N19" s="945"/>
      <c r="O19" s="945"/>
      <c r="P19" s="945"/>
      <c r="Q19" s="946"/>
    </row>
    <row r="20" spans="1:17" ht="45.75" customHeight="1">
      <c r="A20" s="880" t="s">
        <v>608</v>
      </c>
      <c r="B20" s="880"/>
      <c r="C20" s="880"/>
      <c r="D20" s="881" t="str">
        <f>CONCATENATE('содержание '!C77)</f>
        <v>Международная выставка вооружения и оборонных технологий "ArmHiTec-2016"</v>
      </c>
      <c r="E20" s="881"/>
      <c r="F20" s="881"/>
      <c r="G20" s="881"/>
      <c r="H20" s="881"/>
      <c r="I20" s="881"/>
      <c r="J20" s="881"/>
      <c r="K20" s="881"/>
      <c r="M20" s="947"/>
      <c r="N20" s="948"/>
      <c r="O20" s="948"/>
      <c r="P20" s="948"/>
      <c r="Q20" s="949"/>
    </row>
    <row r="21" spans="1:17" ht="14.25" customHeight="1">
      <c r="A21" s="873" t="s">
        <v>592</v>
      </c>
      <c r="B21" s="873"/>
      <c r="C21" s="873"/>
      <c r="D21" s="879" t="str">
        <f>CONCATENATE('содержание '!C82)</f>
        <v>Ереван, выставочный комплекс "ЕреванЭкспо"</v>
      </c>
      <c r="E21" s="879"/>
      <c r="F21" s="879"/>
      <c r="G21" s="879"/>
      <c r="H21" s="879"/>
      <c r="I21" s="879"/>
      <c r="J21" s="879"/>
      <c r="K21" s="879"/>
      <c r="M21" s="382"/>
      <c r="N21" s="382"/>
      <c r="O21" s="832" t="s">
        <v>45</v>
      </c>
      <c r="P21" s="832"/>
      <c r="Q21" s="832"/>
    </row>
    <row r="22" spans="1:17" ht="15" customHeight="1">
      <c r="A22" s="882" t="s">
        <v>322</v>
      </c>
      <c r="B22" s="882"/>
      <c r="C22" s="882"/>
      <c r="D22" s="887"/>
      <c r="E22" s="887"/>
      <c r="F22" s="887"/>
      <c r="G22" s="887"/>
      <c r="H22" s="887"/>
      <c r="I22" s="887"/>
      <c r="J22" s="887"/>
      <c r="K22" s="887"/>
      <c r="M22" s="831" t="str">
        <f>CONCATENATE('содержание '!B133)</f>
        <v>Маричев Сергей Николаевич</v>
      </c>
      <c r="N22" s="831"/>
      <c r="O22" s="831"/>
      <c r="P22" s="831"/>
      <c r="Q22" s="831"/>
    </row>
    <row r="23" spans="1:18" ht="15" customHeight="1">
      <c r="A23" s="840" t="s">
        <v>665</v>
      </c>
      <c r="B23" s="840"/>
      <c r="C23" s="840"/>
      <c r="D23" s="836" t="str">
        <f>'содержание '!C87</f>
        <v>с 13 по 15 октября 2016 г.</v>
      </c>
      <c r="E23" s="837"/>
      <c r="F23" s="837"/>
      <c r="G23" s="837"/>
      <c r="H23" s="837"/>
      <c r="I23" s="837"/>
      <c r="J23" s="837"/>
      <c r="K23" s="837"/>
      <c r="M23" s="382"/>
      <c r="N23" s="382"/>
      <c r="O23" s="572" t="s">
        <v>43</v>
      </c>
      <c r="P23" s="573"/>
      <c r="Q23" s="575" t="s">
        <v>44</v>
      </c>
      <c r="R23" s="574"/>
    </row>
    <row r="24" spans="1:17" ht="12.75" customHeight="1">
      <c r="A24" s="632" t="s">
        <v>694</v>
      </c>
      <c r="B24" s="552"/>
      <c r="C24" s="552"/>
      <c r="D24" s="552"/>
      <c r="E24" s="552"/>
      <c r="F24" s="552"/>
      <c r="G24" s="552"/>
      <c r="H24" s="552"/>
      <c r="I24" s="552"/>
      <c r="J24" s="552"/>
      <c r="K24" s="633"/>
      <c r="M24" s="382"/>
      <c r="N24" s="382"/>
      <c r="O24" s="505"/>
      <c r="P24" s="563" t="s">
        <v>356</v>
      </c>
      <c r="Q24" s="382"/>
    </row>
    <row r="25" spans="1:17" ht="16.5">
      <c r="A25" s="55" t="s">
        <v>816</v>
      </c>
      <c r="B25" s="22"/>
      <c r="C25" s="22"/>
      <c r="D25" s="22"/>
      <c r="E25" s="22"/>
      <c r="F25" s="22"/>
      <c r="G25" s="22"/>
      <c r="H25" s="22"/>
      <c r="I25" s="22"/>
      <c r="J25" s="22"/>
      <c r="K25" s="61"/>
      <c r="M25" s="382"/>
      <c r="N25" s="382"/>
      <c r="O25" s="382"/>
      <c r="P25" s="382"/>
      <c r="Q25" s="382"/>
    </row>
    <row r="26" spans="1:17" ht="16.5">
      <c r="A26" s="55" t="s">
        <v>1104</v>
      </c>
      <c r="B26" s="22"/>
      <c r="C26" s="22"/>
      <c r="D26" s="22"/>
      <c r="E26" s="22"/>
      <c r="F26" s="22"/>
      <c r="G26" s="22"/>
      <c r="H26" s="22"/>
      <c r="I26" s="22"/>
      <c r="J26" s="22"/>
      <c r="K26" s="61"/>
      <c r="M26" s="382"/>
      <c r="N26" s="382"/>
      <c r="O26" s="440"/>
      <c r="P26" s="382"/>
      <c r="Q26" s="382"/>
    </row>
    <row r="27" spans="1:11" ht="16.5">
      <c r="A27" s="55" t="s">
        <v>814</v>
      </c>
      <c r="B27" s="22"/>
      <c r="C27" s="22"/>
      <c r="D27" s="22"/>
      <c r="E27" s="22"/>
      <c r="F27" s="22"/>
      <c r="G27" s="22"/>
      <c r="H27" s="22"/>
      <c r="I27" s="22"/>
      <c r="J27" s="22"/>
      <c r="K27" s="61"/>
    </row>
    <row r="28" spans="1:11" ht="16.5">
      <c r="A28" s="55" t="s">
        <v>815</v>
      </c>
      <c r="B28" s="22"/>
      <c r="C28" s="22"/>
      <c r="D28" s="22"/>
      <c r="E28" s="22"/>
      <c r="F28" s="22"/>
      <c r="G28" s="22"/>
      <c r="H28" s="22"/>
      <c r="I28" s="22"/>
      <c r="J28" s="22"/>
      <c r="K28" s="61"/>
    </row>
    <row r="29" spans="1:25" s="624" customFormat="1" ht="16.5">
      <c r="A29" s="634" t="s">
        <v>314</v>
      </c>
      <c r="B29" s="45"/>
      <c r="C29" s="629"/>
      <c r="D29" s="629"/>
      <c r="E29" s="629"/>
      <c r="F29" s="629"/>
      <c r="G29" s="629"/>
      <c r="H29" s="629"/>
      <c r="I29" s="629"/>
      <c r="J29" s="838"/>
      <c r="K29" s="839"/>
      <c r="L29" s="369"/>
      <c r="M29" s="369"/>
      <c r="N29" s="630"/>
      <c r="O29" s="631" t="s">
        <v>923</v>
      </c>
      <c r="P29" s="369"/>
      <c r="Q29" s="369"/>
      <c r="R29" s="369"/>
      <c r="S29" s="369"/>
      <c r="T29" s="369"/>
      <c r="U29" s="369"/>
      <c r="V29" s="369"/>
      <c r="W29" s="369"/>
      <c r="X29" s="369"/>
      <c r="Y29" s="369"/>
    </row>
    <row r="30" spans="1:15" ht="33.75" customHeight="1">
      <c r="A30" s="833" t="s">
        <v>1105</v>
      </c>
      <c r="B30" s="834"/>
      <c r="C30" s="834"/>
      <c r="D30" s="834"/>
      <c r="E30" s="834"/>
      <c r="F30" s="834"/>
      <c r="G30" s="834"/>
      <c r="H30" s="834"/>
      <c r="I30" s="834"/>
      <c r="J30" s="834"/>
      <c r="K30" s="835"/>
      <c r="N30" s="148"/>
      <c r="O30" s="386"/>
    </row>
    <row r="31" spans="1:15" ht="16.5">
      <c r="A31" s="889"/>
      <c r="B31" s="890"/>
      <c r="C31" s="890"/>
      <c r="D31" s="890"/>
      <c r="E31" s="890"/>
      <c r="F31" s="890"/>
      <c r="G31" s="890"/>
      <c r="H31" s="890"/>
      <c r="I31" s="890"/>
      <c r="J31" s="890"/>
      <c r="K31" s="891"/>
      <c r="N31" s="148"/>
      <c r="O31" s="386"/>
    </row>
    <row r="32" spans="1:15" ht="16.5" customHeight="1">
      <c r="A32" s="7"/>
      <c r="B32" s="64" t="s">
        <v>120</v>
      </c>
      <c r="C32" s="7"/>
      <c r="D32" s="7"/>
      <c r="E32" s="7"/>
      <c r="F32" s="7"/>
      <c r="G32" s="7"/>
      <c r="H32" s="7"/>
      <c r="I32" s="7"/>
      <c r="J32" s="7"/>
      <c r="K32" s="7"/>
      <c r="O32" s="118">
        <f>CONCATENATE('Заявка стр. 2'!B10)</f>
      </c>
    </row>
    <row r="33" spans="1:15" ht="36" customHeight="1">
      <c r="A33" s="876" t="s">
        <v>1100</v>
      </c>
      <c r="B33" s="877"/>
      <c r="C33" s="877"/>
      <c r="D33" s="878"/>
      <c r="E33" s="190" t="s">
        <v>90</v>
      </c>
      <c r="F33" s="190" t="s">
        <v>898</v>
      </c>
      <c r="G33" s="190" t="s">
        <v>92</v>
      </c>
      <c r="H33" s="190" t="s">
        <v>899</v>
      </c>
      <c r="I33" s="190" t="s">
        <v>900</v>
      </c>
      <c r="J33" s="190" t="s">
        <v>93</v>
      </c>
      <c r="K33" s="190" t="s">
        <v>94</v>
      </c>
      <c r="O33" s="457"/>
    </row>
    <row r="34" spans="1:11" ht="15.75" customHeight="1">
      <c r="A34" s="830" t="s">
        <v>510</v>
      </c>
      <c r="B34" s="830"/>
      <c r="C34" s="830"/>
      <c r="D34" s="830"/>
      <c r="E34" s="527">
        <f>'Заявка стр. 2'!J23</f>
        <v>11025</v>
      </c>
      <c r="F34" s="528">
        <f>'Заявка стр. 2'!K23</f>
        <v>6</v>
      </c>
      <c r="G34" s="529">
        <f>MMULT(E34,F34)</f>
        <v>66150</v>
      </c>
      <c r="H34" s="530"/>
      <c r="I34" s="531">
        <v>0</v>
      </c>
      <c r="J34" s="529">
        <f>IF(H34=2,G34*0.1,IF(H34=3,G34*0.15,IF(H34=4,G34*0.2,0)))+(E34*I34*0.3)</f>
        <v>0</v>
      </c>
      <c r="K34" s="529">
        <f>G34+J34</f>
        <v>66150</v>
      </c>
    </row>
    <row r="35" spans="1:11" ht="24.75" customHeight="1" hidden="1">
      <c r="A35" s="892" t="s">
        <v>359</v>
      </c>
      <c r="B35" s="892"/>
      <c r="C35" s="892"/>
      <c r="D35" s="892"/>
      <c r="E35" s="532">
        <f>'Заявка стр. 2'!J24</f>
        <v>5775</v>
      </c>
      <c r="F35" s="533">
        <f>'Заявка стр. 2'!K24</f>
        <v>0</v>
      </c>
      <c r="G35" s="529">
        <f>MMULT(E35,F35)</f>
        <v>0</v>
      </c>
      <c r="H35" s="530">
        <v>1</v>
      </c>
      <c r="I35" s="534" t="s">
        <v>884</v>
      </c>
      <c r="J35" s="529">
        <f>IF(H35=2,G35*0.1,IF(H35=3,G35*0.15,IF(H35=4,G35*0.2,0)))</f>
        <v>0</v>
      </c>
      <c r="K35" s="529">
        <f>G35+J35</f>
        <v>0</v>
      </c>
    </row>
    <row r="36" spans="1:11" ht="18" customHeight="1" hidden="1">
      <c r="A36" s="830" t="s">
        <v>304</v>
      </c>
      <c r="B36" s="830"/>
      <c r="C36" s="830"/>
      <c r="D36" s="830"/>
      <c r="E36" s="527">
        <f>'Заявка стр. 2'!J25</f>
        <v>8001</v>
      </c>
      <c r="F36" s="528">
        <f>'Заявка стр. 2'!K25</f>
        <v>0</v>
      </c>
      <c r="G36" s="529">
        <f>E36*F36</f>
        <v>0</v>
      </c>
      <c r="H36" s="530">
        <v>1</v>
      </c>
      <c r="I36" s="534" t="s">
        <v>884</v>
      </c>
      <c r="J36" s="529">
        <f>IF(H36=2,G36*0.1,IF(H36=3,G36*0.15,IF(H36=4,G36*0.2,0)))</f>
        <v>0</v>
      </c>
      <c r="K36" s="529">
        <f>G36+J36</f>
        <v>0</v>
      </c>
    </row>
    <row r="37" spans="1:11" ht="18" customHeight="1" hidden="1">
      <c r="A37" s="830" t="s">
        <v>930</v>
      </c>
      <c r="B37" s="830"/>
      <c r="C37" s="830"/>
      <c r="D37" s="830"/>
      <c r="E37" s="527">
        <f>'Заявка стр. 2'!J26</f>
        <v>3675</v>
      </c>
      <c r="F37" s="528">
        <f>'Заявка стр. 2'!K26</f>
        <v>0</v>
      </c>
      <c r="G37" s="529">
        <f>E37*F37</f>
        <v>0</v>
      </c>
      <c r="H37" s="530">
        <v>1</v>
      </c>
      <c r="I37" s="534" t="s">
        <v>884</v>
      </c>
      <c r="J37" s="529">
        <f>IF(H37=2,G37*0.1,IF(H37=3,G37*0.15,IF(H37=4,G37*0.2,0)))</f>
        <v>0</v>
      </c>
      <c r="K37" s="529">
        <f>G37+J37</f>
        <v>0</v>
      </c>
    </row>
    <row r="38" spans="1:11" ht="13.5" customHeight="1">
      <c r="A38" s="484" t="s">
        <v>823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7" ht="15.75" customHeight="1">
      <c r="A39" s="193" t="s">
        <v>824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M39" s="841" t="s">
        <v>511</v>
      </c>
      <c r="N39" s="842"/>
      <c r="O39" s="842"/>
      <c r="P39" s="842"/>
      <c r="Q39" s="842"/>
    </row>
    <row r="40" spans="1:17" ht="15.75" customHeight="1">
      <c r="A40" s="830" t="s">
        <v>375</v>
      </c>
      <c r="B40" s="830"/>
      <c r="C40" s="830"/>
      <c r="D40" s="830"/>
      <c r="E40" s="527">
        <f>'Заявка стр. 2'!J29</f>
        <v>3256</v>
      </c>
      <c r="F40" s="528">
        <f>'Заявка стр. 2'!K29</f>
        <v>0</v>
      </c>
      <c r="G40" s="529">
        <f>MMULT(E40,F40)</f>
        <v>0</v>
      </c>
      <c r="H40" s="530"/>
      <c r="I40" s="531">
        <v>0</v>
      </c>
      <c r="J40" s="529">
        <f>IF(H40=2,G40*0.1,IF(H40=3,G40*0.15,IF(H40=4,G40*0.2,0)))+(E40*I40*0.3)</f>
        <v>0</v>
      </c>
      <c r="K40" s="529">
        <f>G40+J40</f>
        <v>0</v>
      </c>
      <c r="M40" s="841"/>
      <c r="N40" s="842"/>
      <c r="O40" s="842"/>
      <c r="P40" s="842"/>
      <c r="Q40" s="842"/>
    </row>
    <row r="41" spans="1:17" ht="16.5" customHeight="1">
      <c r="A41" s="243" t="s">
        <v>901</v>
      </c>
      <c r="B41" s="548"/>
      <c r="C41" s="257"/>
      <c r="D41" s="241"/>
      <c r="E41" s="257"/>
      <c r="F41" s="241"/>
      <c r="G41" s="241"/>
      <c r="H41" s="241"/>
      <c r="I41" s="241"/>
      <c r="J41" s="242"/>
      <c r="K41" s="535">
        <f>K34+K40</f>
        <v>66150</v>
      </c>
      <c r="M41" s="842"/>
      <c r="N41" s="842"/>
      <c r="O41" s="842"/>
      <c r="P41" s="842"/>
      <c r="Q41" s="842"/>
    </row>
    <row r="42" spans="1:17" ht="0.75" customHeight="1">
      <c r="A42" s="245"/>
      <c r="B42" s="888"/>
      <c r="C42" s="888"/>
      <c r="D42" s="547"/>
      <c r="E42" s="551"/>
      <c r="F42" s="241"/>
      <c r="G42" s="241"/>
      <c r="H42" s="241"/>
      <c r="I42" s="241"/>
      <c r="J42" s="242"/>
      <c r="K42" s="536">
        <f>(K34+K36)*E42</f>
        <v>0</v>
      </c>
      <c r="M42" s="842"/>
      <c r="N42" s="842"/>
      <c r="O42" s="842"/>
      <c r="P42" s="842"/>
      <c r="Q42" s="842"/>
    </row>
    <row r="43" spans="1:17" ht="16.5" customHeight="1">
      <c r="A43" s="246" t="s">
        <v>348</v>
      </c>
      <c r="B43" s="549"/>
      <c r="C43" s="549"/>
      <c r="D43" s="244"/>
      <c r="E43" s="552"/>
      <c r="F43" s="241"/>
      <c r="G43" s="241"/>
      <c r="H43" s="241"/>
      <c r="I43" s="241"/>
      <c r="J43" s="242"/>
      <c r="K43" s="535">
        <f>K41-K42</f>
        <v>66150</v>
      </c>
      <c r="M43" s="842"/>
      <c r="N43" s="842"/>
      <c r="O43" s="842"/>
      <c r="P43" s="842"/>
      <c r="Q43" s="842"/>
    </row>
    <row r="44" spans="1:17" ht="1.5" customHeight="1">
      <c r="A44" s="239"/>
      <c r="B44" s="22"/>
      <c r="C44" s="22"/>
      <c r="D44" s="22"/>
      <c r="E44" s="22"/>
      <c r="F44" s="22"/>
      <c r="G44" s="22"/>
      <c r="H44" s="22"/>
      <c r="I44" s="22"/>
      <c r="J44" s="22"/>
      <c r="K44" s="22"/>
      <c r="M44" s="842"/>
      <c r="N44" s="842"/>
      <c r="O44" s="842"/>
      <c r="P44" s="842"/>
      <c r="Q44" s="842"/>
    </row>
    <row r="45" spans="1:17" ht="12.75" customHeight="1">
      <c r="A45" s="64" t="s">
        <v>70</v>
      </c>
      <c r="B45" s="7"/>
      <c r="C45" s="7"/>
      <c r="D45" s="7"/>
      <c r="E45" s="7"/>
      <c r="F45" s="7"/>
      <c r="G45" s="7"/>
      <c r="H45" s="7"/>
      <c r="I45" s="7"/>
      <c r="J45" s="7"/>
      <c r="K45" s="7"/>
      <c r="M45" s="842"/>
      <c r="N45" s="842"/>
      <c r="O45" s="842"/>
      <c r="P45" s="842"/>
      <c r="Q45" s="842"/>
    </row>
    <row r="46" spans="1:17" ht="13.5" customHeight="1">
      <c r="A46" s="795" t="s">
        <v>832</v>
      </c>
      <c r="B46" s="795"/>
      <c r="C46" s="795"/>
      <c r="D46" s="795"/>
      <c r="E46" s="858" t="s">
        <v>1054</v>
      </c>
      <c r="F46" s="859"/>
      <c r="G46" s="859"/>
      <c r="H46" s="859"/>
      <c r="I46" s="859"/>
      <c r="J46" s="859"/>
      <c r="K46" s="537">
        <f>'Пр. 1 '!L37</f>
        <v>40576</v>
      </c>
      <c r="M46" s="842"/>
      <c r="N46" s="842"/>
      <c r="O46" s="842"/>
      <c r="P46" s="842"/>
      <c r="Q46" s="842"/>
    </row>
    <row r="47" spans="1:17" ht="13.5" customHeight="1">
      <c r="A47" s="795" t="s">
        <v>833</v>
      </c>
      <c r="B47" s="795"/>
      <c r="C47" s="795"/>
      <c r="D47" s="795"/>
      <c r="E47" s="858" t="s">
        <v>241</v>
      </c>
      <c r="F47" s="859"/>
      <c r="G47" s="859"/>
      <c r="H47" s="859"/>
      <c r="I47" s="859"/>
      <c r="J47" s="859"/>
      <c r="K47" s="537">
        <f>'Пр. 2'!K59</f>
        <v>2646</v>
      </c>
      <c r="M47" s="842"/>
      <c r="N47" s="842"/>
      <c r="O47" s="842"/>
      <c r="P47" s="842"/>
      <c r="Q47" s="842"/>
    </row>
    <row r="48" spans="1:17" ht="13.5" customHeight="1">
      <c r="A48" s="795" t="s">
        <v>834</v>
      </c>
      <c r="B48" s="795"/>
      <c r="C48" s="795"/>
      <c r="D48" s="795"/>
      <c r="E48" s="858" t="s">
        <v>579</v>
      </c>
      <c r="F48" s="859"/>
      <c r="G48" s="859"/>
      <c r="H48" s="859"/>
      <c r="I48" s="859"/>
      <c r="J48" s="859"/>
      <c r="K48" s="537">
        <f>'Пр. 3'!K31</f>
        <v>0</v>
      </c>
      <c r="M48" s="842"/>
      <c r="N48" s="842"/>
      <c r="O48" s="842"/>
      <c r="P48" s="842"/>
      <c r="Q48" s="842"/>
    </row>
    <row r="49" spans="1:17" ht="13.5" customHeight="1">
      <c r="A49" s="795" t="s">
        <v>835</v>
      </c>
      <c r="B49" s="795"/>
      <c r="C49" s="795"/>
      <c r="D49" s="795"/>
      <c r="E49" s="858" t="s">
        <v>68</v>
      </c>
      <c r="F49" s="859"/>
      <c r="G49" s="859"/>
      <c r="H49" s="859"/>
      <c r="I49" s="859"/>
      <c r="J49" s="859"/>
      <c r="K49" s="537">
        <f>'Пр. 4'!K42</f>
        <v>0</v>
      </c>
      <c r="M49" s="842"/>
      <c r="N49" s="842"/>
      <c r="O49" s="842"/>
      <c r="P49" s="842"/>
      <c r="Q49" s="842"/>
    </row>
    <row r="50" spans="1:17" ht="13.5" customHeight="1">
      <c r="A50" s="795" t="s">
        <v>836</v>
      </c>
      <c r="B50" s="795"/>
      <c r="C50" s="795"/>
      <c r="D50" s="795"/>
      <c r="E50" s="955" t="s">
        <v>862</v>
      </c>
      <c r="F50" s="956"/>
      <c r="G50" s="956"/>
      <c r="H50" s="956"/>
      <c r="I50" s="956"/>
      <c r="J50" s="858"/>
      <c r="K50" s="537">
        <f>'Пр. 5'!K27</f>
        <v>0</v>
      </c>
      <c r="M50" s="842"/>
      <c r="N50" s="842"/>
      <c r="O50" s="842"/>
      <c r="P50" s="842"/>
      <c r="Q50" s="842"/>
    </row>
    <row r="51" spans="1:17" ht="13.5" customHeight="1">
      <c r="A51" s="795" t="s">
        <v>837</v>
      </c>
      <c r="B51" s="795"/>
      <c r="C51" s="795"/>
      <c r="D51" s="795"/>
      <c r="E51" s="955" t="s">
        <v>34</v>
      </c>
      <c r="F51" s="956"/>
      <c r="G51" s="956"/>
      <c r="H51" s="956"/>
      <c r="I51" s="956"/>
      <c r="J51" s="858"/>
      <c r="K51" s="537">
        <f>'Пр. 6'!J49</f>
        <v>0</v>
      </c>
      <c r="M51" s="842"/>
      <c r="N51" s="842"/>
      <c r="O51" s="842"/>
      <c r="P51" s="842"/>
      <c r="Q51" s="842"/>
    </row>
    <row r="52" spans="1:17" ht="13.5" customHeight="1">
      <c r="A52" s="795" t="s">
        <v>838</v>
      </c>
      <c r="B52" s="795"/>
      <c r="C52" s="795"/>
      <c r="D52" s="795"/>
      <c r="E52" s="955" t="s">
        <v>425</v>
      </c>
      <c r="F52" s="956"/>
      <c r="G52" s="956"/>
      <c r="H52" s="956"/>
      <c r="I52" s="956"/>
      <c r="J52" s="858"/>
      <c r="K52" s="537">
        <f>'Пр. 7'!K71</f>
        <v>0</v>
      </c>
      <c r="M52" s="842"/>
      <c r="N52" s="842"/>
      <c r="O52" s="842"/>
      <c r="P52" s="842"/>
      <c r="Q52" s="842"/>
    </row>
    <row r="53" spans="1:17" ht="13.5" customHeight="1">
      <c r="A53" s="795" t="s">
        <v>69</v>
      </c>
      <c r="B53" s="795"/>
      <c r="C53" s="795"/>
      <c r="D53" s="795"/>
      <c r="E53" s="858" t="s">
        <v>702</v>
      </c>
      <c r="F53" s="859"/>
      <c r="G53" s="859"/>
      <c r="H53" s="859"/>
      <c r="I53" s="859"/>
      <c r="J53" s="859"/>
      <c r="K53" s="537">
        <f>'Пр. 8'!L26</f>
        <v>0</v>
      </c>
      <c r="M53" s="842"/>
      <c r="N53" s="842"/>
      <c r="O53" s="842"/>
      <c r="P53" s="842"/>
      <c r="Q53" s="842"/>
    </row>
    <row r="54" spans="1:17" ht="13.5" customHeight="1">
      <c r="A54" s="795" t="s">
        <v>226</v>
      </c>
      <c r="B54" s="795"/>
      <c r="C54" s="795"/>
      <c r="D54" s="795"/>
      <c r="E54" s="858" t="s">
        <v>520</v>
      </c>
      <c r="F54" s="859"/>
      <c r="G54" s="859"/>
      <c r="H54" s="859"/>
      <c r="I54" s="859"/>
      <c r="J54" s="859"/>
      <c r="K54" s="537">
        <f>'Пр. 9'!M26</f>
        <v>0</v>
      </c>
      <c r="M54" s="842"/>
      <c r="N54" s="842"/>
      <c r="O54" s="842"/>
      <c r="P54" s="842"/>
      <c r="Q54" s="842"/>
    </row>
    <row r="55" spans="1:17" ht="13.5" customHeight="1">
      <c r="A55" s="795" t="s">
        <v>386</v>
      </c>
      <c r="B55" s="795"/>
      <c r="C55" s="795"/>
      <c r="D55" s="795"/>
      <c r="E55" s="860" t="s">
        <v>315</v>
      </c>
      <c r="F55" s="861"/>
      <c r="G55" s="861"/>
      <c r="H55" s="861"/>
      <c r="I55" s="861"/>
      <c r="J55" s="861"/>
      <c r="K55" s="612">
        <f>'Пр. 10'!K60</f>
        <v>0</v>
      </c>
      <c r="M55" s="842"/>
      <c r="N55" s="842"/>
      <c r="O55" s="842"/>
      <c r="P55" s="842"/>
      <c r="Q55" s="842"/>
    </row>
    <row r="56" spans="1:17" ht="2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M56" s="842"/>
      <c r="N56" s="842"/>
      <c r="O56" s="842"/>
      <c r="P56" s="842"/>
      <c r="Q56" s="842"/>
    </row>
    <row r="57" spans="1:17" ht="15" customHeight="1">
      <c r="A57" s="849"/>
      <c r="B57" s="849"/>
      <c r="C57" s="849"/>
      <c r="D57" s="849"/>
      <c r="E57" s="850" t="s">
        <v>283</v>
      </c>
      <c r="F57" s="850"/>
      <c r="G57" s="847" t="s">
        <v>710</v>
      </c>
      <c r="H57" s="847"/>
      <c r="I57" s="850" t="s">
        <v>316</v>
      </c>
      <c r="J57" s="850"/>
      <c r="K57" s="850"/>
      <c r="M57" s="842"/>
      <c r="N57" s="842"/>
      <c r="O57" s="842"/>
      <c r="P57" s="842"/>
      <c r="Q57" s="842"/>
    </row>
    <row r="58" spans="1:17" ht="15" customHeight="1">
      <c r="A58" s="857" t="s">
        <v>902</v>
      </c>
      <c r="B58" s="857"/>
      <c r="C58" s="857"/>
      <c r="D58" s="857"/>
      <c r="E58" s="851">
        <f>'содержание '!C124</f>
        <v>17150</v>
      </c>
      <c r="F58" s="851"/>
      <c r="G58" s="844">
        <f>IF(OR(I62,SUM('Пр. 10'!K26:K27)),0,'Заявка стр. 2'!K20)</f>
        <v>1</v>
      </c>
      <c r="H58" s="844"/>
      <c r="I58" s="848">
        <f>IF(OR(SUM('Пр. 10'!H26:J27,'Пр. 10'!H39:J41,'Пр. 10'!H47:J47)),0,E58*G58)</f>
        <v>17150</v>
      </c>
      <c r="J58" s="848"/>
      <c r="K58" s="848"/>
      <c r="M58" s="842"/>
      <c r="N58" s="842"/>
      <c r="O58" s="842"/>
      <c r="P58" s="842"/>
      <c r="Q58" s="842"/>
    </row>
    <row r="59" spans="1:17" ht="1.5" customHeight="1">
      <c r="A59" s="70"/>
      <c r="B59" s="70"/>
      <c r="C59" s="70"/>
      <c r="D59" s="70"/>
      <c r="E59" s="538"/>
      <c r="F59" s="538"/>
      <c r="G59" s="539"/>
      <c r="H59" s="539"/>
      <c r="I59" s="540"/>
      <c r="J59" s="540"/>
      <c r="K59" s="540"/>
      <c r="M59" s="842"/>
      <c r="N59" s="842"/>
      <c r="O59" s="842"/>
      <c r="P59" s="842"/>
      <c r="Q59" s="842"/>
    </row>
    <row r="60" spans="1:17" ht="15" customHeight="1">
      <c r="A60" s="845"/>
      <c r="B60" s="845"/>
      <c r="C60" s="845"/>
      <c r="D60" s="845"/>
      <c r="E60" s="850" t="s">
        <v>283</v>
      </c>
      <c r="F60" s="850"/>
      <c r="G60" s="847" t="s">
        <v>710</v>
      </c>
      <c r="H60" s="847"/>
      <c r="I60" s="850" t="s">
        <v>316</v>
      </c>
      <c r="J60" s="850"/>
      <c r="K60" s="850"/>
      <c r="M60" s="842"/>
      <c r="N60" s="842"/>
      <c r="O60" s="842"/>
      <c r="P60" s="842"/>
      <c r="Q60" s="842"/>
    </row>
    <row r="61" spans="1:17" ht="15" customHeight="1">
      <c r="A61" s="857" t="s">
        <v>593</v>
      </c>
      <c r="B61" s="857"/>
      <c r="C61" s="857"/>
      <c r="D61" s="857"/>
      <c r="E61" s="851">
        <f>'содержание '!C124</f>
        <v>17150</v>
      </c>
      <c r="F61" s="851"/>
      <c r="G61" s="844">
        <f>'Заявка стр. 2'!K35</f>
        <v>0</v>
      </c>
      <c r="H61" s="844"/>
      <c r="I61" s="848">
        <f>E61*G61</f>
        <v>0</v>
      </c>
      <c r="J61" s="848"/>
      <c r="K61" s="848"/>
      <c r="M61" s="842"/>
      <c r="N61" s="842"/>
      <c r="O61" s="842"/>
      <c r="P61" s="842"/>
      <c r="Q61" s="842"/>
    </row>
    <row r="62" spans="1:17" ht="15" customHeight="1">
      <c r="A62" s="852" t="s">
        <v>442</v>
      </c>
      <c r="B62" s="852"/>
      <c r="C62" s="852"/>
      <c r="D62" s="852"/>
      <c r="E62" s="854">
        <f>'содержание '!C125</f>
        <v>23324</v>
      </c>
      <c r="F62" s="854"/>
      <c r="G62" s="853">
        <f>'Заявка стр. 2'!K36</f>
        <v>0</v>
      </c>
      <c r="H62" s="853"/>
      <c r="I62" s="843">
        <f>E62*G62</f>
        <v>0</v>
      </c>
      <c r="J62" s="843"/>
      <c r="K62" s="843"/>
      <c r="M62" s="842"/>
      <c r="N62" s="842"/>
      <c r="O62" s="842"/>
      <c r="P62" s="842"/>
      <c r="Q62" s="842"/>
    </row>
    <row r="63" spans="1:11" ht="2.25" customHeight="1">
      <c r="A63" s="70"/>
      <c r="B63" s="70"/>
      <c r="C63" s="70"/>
      <c r="D63" s="65"/>
      <c r="E63" s="66"/>
      <c r="F63" s="66"/>
      <c r="G63" s="67"/>
      <c r="H63" s="67"/>
      <c r="I63" s="68"/>
      <c r="J63" s="68"/>
      <c r="K63" s="68"/>
    </row>
    <row r="64" spans="1:11" ht="14.25" customHeight="1">
      <c r="A64" s="845"/>
      <c r="B64" s="845"/>
      <c r="C64" s="845"/>
      <c r="D64" s="845"/>
      <c r="E64" s="850" t="s">
        <v>283</v>
      </c>
      <c r="F64" s="850"/>
      <c r="G64" s="847" t="s">
        <v>710</v>
      </c>
      <c r="H64" s="847"/>
      <c r="I64" s="850" t="s">
        <v>316</v>
      </c>
      <c r="J64" s="850"/>
      <c r="K64" s="850"/>
    </row>
    <row r="65" spans="1:11" ht="9" customHeight="1" hidden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5" customHeight="1">
      <c r="A66" s="855" t="s">
        <v>844</v>
      </c>
      <c r="B66" s="856"/>
      <c r="C66" s="856"/>
      <c r="D66" s="856"/>
      <c r="E66" s="856"/>
      <c r="F66" s="856"/>
      <c r="G66" s="846">
        <f>IF(OR(G62,G65),I62+I65,IF(E42,K43+SUM(K46:K55)+I58+I61,K41+SUM(K46:K55)+I58+I61))</f>
        <v>126522</v>
      </c>
      <c r="H66" s="846"/>
      <c r="I66" s="846"/>
      <c r="J66" s="846"/>
      <c r="K66" s="846"/>
    </row>
    <row r="67" spans="1:11" ht="1.5" customHeight="1">
      <c r="A67" s="645"/>
      <c r="B67" s="641"/>
      <c r="C67" s="641"/>
      <c r="D67" s="646"/>
      <c r="E67" s="68"/>
      <c r="F67" s="68"/>
      <c r="G67" s="674"/>
      <c r="H67" s="674"/>
      <c r="I67" s="540"/>
      <c r="J67" s="540"/>
      <c r="K67" s="540"/>
    </row>
    <row r="68" spans="1:11" ht="15" customHeight="1">
      <c r="A68" s="855" t="s">
        <v>845</v>
      </c>
      <c r="B68" s="856"/>
      <c r="C68" s="856"/>
      <c r="D68" s="856"/>
      <c r="E68" s="856"/>
      <c r="F68" s="856"/>
      <c r="G68" s="846">
        <f>G66*0.18</f>
        <v>22773.96</v>
      </c>
      <c r="H68" s="846"/>
      <c r="I68" s="846"/>
      <c r="J68" s="846"/>
      <c r="K68" s="846"/>
    </row>
    <row r="69" spans="1:11" ht="1.5" customHeight="1">
      <c r="A69" s="645"/>
      <c r="B69" s="641"/>
      <c r="C69" s="641"/>
      <c r="D69" s="646"/>
      <c r="E69" s="68"/>
      <c r="F69" s="68"/>
      <c r="G69" s="674"/>
      <c r="H69" s="674"/>
      <c r="I69" s="540"/>
      <c r="J69" s="540"/>
      <c r="K69" s="540"/>
    </row>
    <row r="70" spans="1:11" ht="15" customHeight="1">
      <c r="A70" s="855" t="s">
        <v>78</v>
      </c>
      <c r="B70" s="856"/>
      <c r="C70" s="856"/>
      <c r="D70" s="856"/>
      <c r="E70" s="856"/>
      <c r="F70" s="856"/>
      <c r="G70" s="846">
        <f>G66+G68</f>
        <v>149295.96</v>
      </c>
      <c r="H70" s="846"/>
      <c r="I70" s="846"/>
      <c r="J70" s="846"/>
      <c r="K70" s="846"/>
    </row>
    <row r="71" spans="1:11" ht="1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5" customHeight="1" hidden="1">
      <c r="A72" s="855" t="s">
        <v>308</v>
      </c>
      <c r="B72" s="856"/>
      <c r="C72" s="856"/>
      <c r="D72" s="856"/>
      <c r="E72" s="856"/>
      <c r="F72" s="856"/>
      <c r="G72" s="899">
        <f>G66*'содержание '!D106</f>
        <v>5693490</v>
      </c>
      <c r="H72" s="899"/>
      <c r="I72" s="899"/>
      <c r="J72" s="899"/>
      <c r="K72" s="899"/>
    </row>
    <row r="73" spans="1:11" ht="1.5" customHeight="1" hidden="1">
      <c r="A73" s="69"/>
      <c r="B73" s="70"/>
      <c r="C73" s="70"/>
      <c r="D73" s="65"/>
      <c r="E73" s="66"/>
      <c r="F73" s="66"/>
      <c r="G73" s="391"/>
      <c r="H73" s="391"/>
      <c r="I73" s="68"/>
      <c r="J73" s="68"/>
      <c r="K73" s="68"/>
    </row>
    <row r="74" spans="1:11" ht="15" customHeight="1" hidden="1">
      <c r="A74" s="855" t="s">
        <v>309</v>
      </c>
      <c r="B74" s="856"/>
      <c r="C74" s="856"/>
      <c r="D74" s="856"/>
      <c r="E74" s="856"/>
      <c r="F74" s="856"/>
      <c r="G74" s="899">
        <f>G72*0.18</f>
        <v>1024828.2</v>
      </c>
      <c r="H74" s="899"/>
      <c r="I74" s="899"/>
      <c r="J74" s="899"/>
      <c r="K74" s="899"/>
    </row>
    <row r="75" spans="1:11" ht="1.5" customHeight="1" hidden="1">
      <c r="A75" s="69"/>
      <c r="B75" s="70"/>
      <c r="C75" s="70"/>
      <c r="D75" s="65"/>
      <c r="E75" s="66"/>
      <c r="F75" s="66"/>
      <c r="G75" s="67"/>
      <c r="H75" s="67"/>
      <c r="I75" s="68"/>
      <c r="J75" s="68"/>
      <c r="K75" s="68"/>
    </row>
    <row r="76" spans="1:11" ht="15" customHeight="1" hidden="1">
      <c r="A76" s="907" t="s">
        <v>310</v>
      </c>
      <c r="B76" s="907"/>
      <c r="C76" s="907"/>
      <c r="D76" s="907"/>
      <c r="E76" s="389" t="s">
        <v>284</v>
      </c>
      <c r="F76" s="390" t="str">
        <f>'содержание '!C106</f>
        <v>100 рублей РФ</v>
      </c>
      <c r="G76" s="899">
        <f>G72+G74</f>
        <v>6718318.2</v>
      </c>
      <c r="H76" s="899"/>
      <c r="I76" s="899"/>
      <c r="J76" s="899"/>
      <c r="K76" s="899"/>
    </row>
    <row r="77" spans="1:11" ht="1.5" customHeight="1">
      <c r="A77" s="186"/>
      <c r="B77" s="186"/>
      <c r="C77" s="186"/>
      <c r="D77" s="186"/>
      <c r="E77" s="186"/>
      <c r="F77" s="186"/>
      <c r="G77" s="240"/>
      <c r="H77" s="240"/>
      <c r="I77" s="240"/>
      <c r="J77" s="240"/>
      <c r="K77" s="240"/>
    </row>
    <row r="78" spans="1:11" ht="9" customHeight="1">
      <c r="A78" s="73"/>
      <c r="B78" s="73"/>
      <c r="C78" s="73"/>
      <c r="D78" s="73"/>
      <c r="E78" s="73"/>
      <c r="F78" s="73"/>
      <c r="G78" s="900"/>
      <c r="H78" s="900"/>
      <c r="I78" s="900"/>
      <c r="J78" s="900"/>
      <c r="K78" s="900"/>
    </row>
    <row r="79" spans="1:11" ht="12.75" customHeight="1">
      <c r="A79" s="907" t="s">
        <v>846</v>
      </c>
      <c r="B79" s="907"/>
      <c r="C79" s="907"/>
      <c r="D79" s="907"/>
      <c r="E79" s="907"/>
      <c r="F79" s="907"/>
      <c r="G79" s="900"/>
      <c r="H79" s="900"/>
      <c r="I79" s="900"/>
      <c r="J79" s="900"/>
      <c r="K79" s="900"/>
    </row>
    <row r="80" spans="1:11" ht="10.5" customHeight="1">
      <c r="A80" s="73"/>
      <c r="B80" s="73"/>
      <c r="C80" s="73"/>
      <c r="D80" s="73"/>
      <c r="E80" s="73"/>
      <c r="F80" s="73"/>
      <c r="G80" s="900"/>
      <c r="H80" s="900"/>
      <c r="I80" s="900"/>
      <c r="J80" s="900"/>
      <c r="K80" s="900"/>
    </row>
    <row r="81" spans="1:11" ht="26.25" customHeight="1">
      <c r="A81" s="896" t="s">
        <v>1106</v>
      </c>
      <c r="B81" s="896"/>
      <c r="C81" s="896"/>
      <c r="D81" s="896"/>
      <c r="E81" s="896"/>
      <c r="F81" s="896"/>
      <c r="G81" s="896"/>
      <c r="H81" s="896"/>
      <c r="I81" s="896"/>
      <c r="J81" s="896"/>
      <c r="K81" s="896"/>
    </row>
    <row r="82" spans="1:12" ht="13.5" customHeight="1">
      <c r="A82" s="247"/>
      <c r="B82" s="248" t="s">
        <v>903</v>
      </c>
      <c r="C82" s="249"/>
      <c r="D82" s="249"/>
      <c r="E82" s="249"/>
      <c r="F82" s="249"/>
      <c r="G82" s="249"/>
      <c r="H82" s="249"/>
      <c r="I82" s="249"/>
      <c r="J82" s="249"/>
      <c r="K82" s="250"/>
      <c r="L82" s="56"/>
    </row>
    <row r="83" spans="1:12" s="60" customFormat="1" ht="12" customHeight="1">
      <c r="A83" s="251" t="s">
        <v>728</v>
      </c>
      <c r="B83" s="59"/>
      <c r="C83" s="59"/>
      <c r="D83" s="59"/>
      <c r="E83" s="59"/>
      <c r="F83" s="59"/>
      <c r="G83" s="59"/>
      <c r="H83" s="59"/>
      <c r="I83" s="59"/>
      <c r="J83" s="59"/>
      <c r="K83" s="252"/>
      <c r="L83" s="59"/>
    </row>
    <row r="84" spans="1:12" s="60" customFormat="1" ht="12" customHeight="1">
      <c r="A84" s="251" t="s">
        <v>343</v>
      </c>
      <c r="B84" s="59"/>
      <c r="C84" s="59"/>
      <c r="D84" s="59"/>
      <c r="E84" s="59"/>
      <c r="F84" s="59"/>
      <c r="G84" s="59"/>
      <c r="H84" s="59"/>
      <c r="I84" s="59"/>
      <c r="J84" s="59"/>
      <c r="K84" s="252"/>
      <c r="L84" s="59"/>
    </row>
    <row r="85" spans="1:12" s="60" customFormat="1" ht="12" customHeight="1">
      <c r="A85" s="251" t="s">
        <v>171</v>
      </c>
      <c r="B85" s="59"/>
      <c r="C85" s="59"/>
      <c r="D85" s="59"/>
      <c r="E85" s="59"/>
      <c r="F85" s="59"/>
      <c r="G85" s="59"/>
      <c r="H85" s="59"/>
      <c r="I85" s="59"/>
      <c r="J85" s="59"/>
      <c r="K85" s="252"/>
      <c r="L85" s="59"/>
    </row>
    <row r="86" spans="1:12" ht="12.75" customHeight="1">
      <c r="A86" s="253"/>
      <c r="B86" s="63" t="s">
        <v>683</v>
      </c>
      <c r="C86" s="56"/>
      <c r="D86" s="56"/>
      <c r="E86" s="56"/>
      <c r="F86" s="56"/>
      <c r="G86" s="56"/>
      <c r="H86" s="56"/>
      <c r="I86" s="56"/>
      <c r="J86" s="56"/>
      <c r="K86" s="254"/>
      <c r="L86" s="56"/>
    </row>
    <row r="87" spans="1:12" s="60" customFormat="1" ht="11.25" customHeight="1">
      <c r="A87" s="251" t="s">
        <v>317</v>
      </c>
      <c r="B87" s="74"/>
      <c r="C87" s="74"/>
      <c r="D87" s="74"/>
      <c r="E87" s="74"/>
      <c r="F87" s="74"/>
      <c r="G87" s="74"/>
      <c r="H87" s="74"/>
      <c r="I87" s="74"/>
      <c r="J87" s="74"/>
      <c r="K87" s="255"/>
      <c r="L87" s="59"/>
    </row>
    <row r="88" spans="1:12" s="60" customFormat="1" ht="11.25" customHeight="1">
      <c r="A88" s="251" t="s">
        <v>419</v>
      </c>
      <c r="B88" s="74"/>
      <c r="C88" s="74"/>
      <c r="D88" s="74"/>
      <c r="E88" s="74"/>
      <c r="F88" s="74"/>
      <c r="G88" s="74"/>
      <c r="H88" s="74"/>
      <c r="I88" s="74"/>
      <c r="J88" s="74"/>
      <c r="K88" s="255"/>
      <c r="L88" s="59"/>
    </row>
    <row r="89" spans="1:12" s="60" customFormat="1" ht="11.25" customHeight="1">
      <c r="A89" s="251" t="s">
        <v>318</v>
      </c>
      <c r="B89" s="74"/>
      <c r="C89" s="74"/>
      <c r="D89" s="74"/>
      <c r="E89" s="74"/>
      <c r="F89" s="74"/>
      <c r="G89" s="74"/>
      <c r="H89" s="74"/>
      <c r="I89" s="74"/>
      <c r="J89" s="74"/>
      <c r="K89" s="255"/>
      <c r="L89" s="59"/>
    </row>
    <row r="90" spans="1:12" s="60" customFormat="1" ht="11.25" customHeight="1">
      <c r="A90" s="251" t="s">
        <v>344</v>
      </c>
      <c r="B90" s="74"/>
      <c r="C90" s="74"/>
      <c r="D90" s="74"/>
      <c r="E90" s="74"/>
      <c r="F90" s="74"/>
      <c r="G90" s="74"/>
      <c r="H90" s="74"/>
      <c r="I90" s="74"/>
      <c r="J90" s="74"/>
      <c r="K90" s="255"/>
      <c r="L90" s="59"/>
    </row>
    <row r="91" spans="1:12" s="60" customFormat="1" ht="11.25" customHeight="1">
      <c r="A91" s="251" t="s">
        <v>1109</v>
      </c>
      <c r="B91" s="74"/>
      <c r="C91" s="74"/>
      <c r="D91" s="74"/>
      <c r="E91" s="74"/>
      <c r="F91" s="74"/>
      <c r="G91" s="74"/>
      <c r="H91" s="74"/>
      <c r="I91" s="74"/>
      <c r="J91" s="74"/>
      <c r="K91" s="255"/>
      <c r="L91" s="59"/>
    </row>
    <row r="92" spans="1:12" s="60" customFormat="1" ht="11.25" customHeight="1">
      <c r="A92" s="251" t="s">
        <v>1108</v>
      </c>
      <c r="B92" s="74"/>
      <c r="C92" s="74"/>
      <c r="D92" s="74"/>
      <c r="E92" s="74"/>
      <c r="F92" s="74"/>
      <c r="G92" s="74"/>
      <c r="H92" s="74"/>
      <c r="I92" s="74"/>
      <c r="J92" s="74"/>
      <c r="K92" s="255"/>
      <c r="L92" s="59"/>
    </row>
    <row r="93" spans="1:12" s="60" customFormat="1" ht="11.25" customHeight="1">
      <c r="A93" s="251" t="s">
        <v>1107</v>
      </c>
      <c r="B93" s="74"/>
      <c r="C93" s="74"/>
      <c r="D93" s="74"/>
      <c r="E93" s="74"/>
      <c r="F93" s="74"/>
      <c r="G93" s="74"/>
      <c r="H93" s="74"/>
      <c r="I93" s="74"/>
      <c r="J93" s="74"/>
      <c r="K93" s="255"/>
      <c r="L93" s="59"/>
    </row>
    <row r="94" spans="1:12" s="60" customFormat="1" ht="11.25" customHeight="1">
      <c r="A94" s="251" t="s">
        <v>685</v>
      </c>
      <c r="B94" s="74"/>
      <c r="C94" s="74"/>
      <c r="D94" s="74"/>
      <c r="E94" s="74"/>
      <c r="F94" s="74"/>
      <c r="G94" s="74"/>
      <c r="H94" s="74"/>
      <c r="I94" s="74"/>
      <c r="J94" s="74"/>
      <c r="K94" s="255"/>
      <c r="L94" s="59"/>
    </row>
    <row r="95" spans="1:12" s="60" customFormat="1" ht="11.25" customHeight="1">
      <c r="A95" s="901" t="s">
        <v>452</v>
      </c>
      <c r="B95" s="902"/>
      <c r="C95" s="902"/>
      <c r="D95" s="902"/>
      <c r="E95" s="902"/>
      <c r="F95" s="902"/>
      <c r="G95" s="902"/>
      <c r="H95" s="902"/>
      <c r="I95" s="902"/>
      <c r="J95" s="902"/>
      <c r="K95" s="903"/>
      <c r="L95" s="59"/>
    </row>
    <row r="96" spans="1:12" s="60" customFormat="1" ht="11.25" customHeight="1">
      <c r="A96" s="901" t="s">
        <v>141</v>
      </c>
      <c r="B96" s="908"/>
      <c r="C96" s="908"/>
      <c r="D96" s="908"/>
      <c r="E96" s="908"/>
      <c r="F96" s="908"/>
      <c r="G96" s="908"/>
      <c r="H96" s="908"/>
      <c r="I96" s="908"/>
      <c r="J96" s="908"/>
      <c r="K96" s="909"/>
      <c r="L96" s="59"/>
    </row>
    <row r="97" spans="1:12" s="60" customFormat="1" ht="10.5" customHeight="1">
      <c r="A97" s="901" t="s">
        <v>813</v>
      </c>
      <c r="B97" s="902"/>
      <c r="C97" s="902"/>
      <c r="D97" s="902"/>
      <c r="E97" s="902"/>
      <c r="F97" s="902"/>
      <c r="G97" s="902"/>
      <c r="H97" s="902"/>
      <c r="I97" s="902"/>
      <c r="J97" s="902"/>
      <c r="K97" s="903"/>
      <c r="L97" s="59"/>
    </row>
    <row r="98" spans="1:12" s="60" customFormat="1" ht="11.25" customHeight="1">
      <c r="A98" s="901" t="s">
        <v>1055</v>
      </c>
      <c r="B98" s="902"/>
      <c r="C98" s="902"/>
      <c r="D98" s="902"/>
      <c r="E98" s="902"/>
      <c r="F98" s="902"/>
      <c r="G98" s="902"/>
      <c r="H98" s="902"/>
      <c r="I98" s="902"/>
      <c r="J98" s="902"/>
      <c r="K98" s="903"/>
      <c r="L98" s="59"/>
    </row>
    <row r="99" spans="1:11" s="60" customFormat="1" ht="11.25" customHeight="1">
      <c r="A99" s="901" t="s">
        <v>360</v>
      </c>
      <c r="B99" s="902"/>
      <c r="C99" s="902"/>
      <c r="D99" s="902"/>
      <c r="E99" s="902"/>
      <c r="F99" s="902"/>
      <c r="G99" s="902"/>
      <c r="H99" s="902"/>
      <c r="I99" s="902"/>
      <c r="J99" s="902"/>
      <c r="K99" s="903"/>
    </row>
    <row r="100" spans="1:11" s="60" customFormat="1" ht="11.25" customHeight="1">
      <c r="A100" s="901" t="s">
        <v>839</v>
      </c>
      <c r="B100" s="902"/>
      <c r="C100" s="902"/>
      <c r="D100" s="902"/>
      <c r="E100" s="902"/>
      <c r="F100" s="902"/>
      <c r="G100" s="902"/>
      <c r="H100" s="902"/>
      <c r="I100" s="902"/>
      <c r="J100" s="902"/>
      <c r="K100" s="903"/>
    </row>
    <row r="101" spans="1:12" s="60" customFormat="1" ht="11.25" customHeight="1">
      <c r="A101" s="251" t="s">
        <v>629</v>
      </c>
      <c r="B101" s="74"/>
      <c r="C101" s="74"/>
      <c r="D101" s="74"/>
      <c r="E101" s="74"/>
      <c r="F101" s="74"/>
      <c r="G101" s="74"/>
      <c r="H101" s="74"/>
      <c r="I101" s="75"/>
      <c r="J101" s="74"/>
      <c r="K101" s="255"/>
      <c r="L101" s="59"/>
    </row>
    <row r="102" spans="1:12" s="60" customFormat="1" ht="11.25" customHeight="1">
      <c r="A102" s="251" t="s">
        <v>142</v>
      </c>
      <c r="B102" s="74"/>
      <c r="C102" s="74"/>
      <c r="D102" s="74"/>
      <c r="E102" s="74"/>
      <c r="F102" s="74"/>
      <c r="G102" s="74"/>
      <c r="H102" s="74"/>
      <c r="I102" s="75"/>
      <c r="J102" s="74"/>
      <c r="K102" s="255"/>
      <c r="L102" s="59"/>
    </row>
    <row r="103" spans="1:12" s="60" customFormat="1" ht="11.25" customHeight="1">
      <c r="A103" s="465" t="s">
        <v>79</v>
      </c>
      <c r="B103" s="459"/>
      <c r="C103" s="460"/>
      <c r="D103" s="461"/>
      <c r="E103" s="459"/>
      <c r="F103" s="648"/>
      <c r="G103" s="459"/>
      <c r="H103" s="462"/>
      <c r="I103" s="462"/>
      <c r="J103" s="459"/>
      <c r="K103" s="463"/>
      <c r="L103" s="59"/>
    </row>
    <row r="104" spans="1:12" s="60" customFormat="1" ht="11.25" customHeight="1">
      <c r="A104" s="74" t="s">
        <v>606</v>
      </c>
      <c r="B104" s="74"/>
      <c r="C104" s="696"/>
      <c r="D104" s="697"/>
      <c r="E104" s="74"/>
      <c r="F104" s="74"/>
      <c r="G104" s="74"/>
      <c r="H104" s="59"/>
      <c r="I104" s="59"/>
      <c r="J104" s="74"/>
      <c r="K104" s="698"/>
      <c r="L104" s="59"/>
    </row>
    <row r="105" spans="1:12" s="60" customFormat="1" ht="81.75" customHeight="1">
      <c r="A105" s="828" t="s">
        <v>290</v>
      </c>
      <c r="B105" s="828"/>
      <c r="C105" s="828"/>
      <c r="D105" s="828"/>
      <c r="E105" s="828"/>
      <c r="F105" s="828"/>
      <c r="G105" s="828"/>
      <c r="H105" s="828"/>
      <c r="I105" s="828"/>
      <c r="J105" s="828"/>
      <c r="K105" s="829"/>
      <c r="L105" s="59"/>
    </row>
    <row r="106" spans="1:11" ht="15" customHeight="1">
      <c r="A106" s="7"/>
      <c r="B106" s="76" t="s">
        <v>904</v>
      </c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39" customHeight="1">
      <c r="A107" s="904" t="s">
        <v>319</v>
      </c>
      <c r="B107" s="905"/>
      <c r="C107" s="905"/>
      <c r="D107" s="905"/>
      <c r="E107" s="906"/>
      <c r="F107" s="266" t="s">
        <v>564</v>
      </c>
      <c r="G107" s="915" t="str">
        <f>CONCATENATE('Заявка стр. 1'!B3)</f>
        <v>АО "Научно-производственный центр "Вигстар"</v>
      </c>
      <c r="H107" s="915"/>
      <c r="I107" s="915"/>
      <c r="J107" s="915"/>
      <c r="K107" s="916"/>
    </row>
    <row r="108" spans="1:11" ht="11.25" customHeight="1">
      <c r="A108" s="256" t="s">
        <v>910</v>
      </c>
      <c r="B108" s="257"/>
      <c r="C108" s="257"/>
      <c r="D108" s="257"/>
      <c r="E108" s="257"/>
      <c r="F108" s="256" t="s">
        <v>910</v>
      </c>
      <c r="G108" s="257"/>
      <c r="H108" s="897"/>
      <c r="I108" s="897"/>
      <c r="J108" s="897"/>
      <c r="K108" s="898"/>
    </row>
    <row r="109" spans="1:11" ht="11.25" customHeight="1">
      <c r="A109" s="258" t="s">
        <v>26</v>
      </c>
      <c r="B109" s="77"/>
      <c r="C109" s="77"/>
      <c r="D109" s="77"/>
      <c r="E109" s="77"/>
      <c r="F109" s="893" t="str">
        <f>CONCATENATE('Заявка стр. 1'!B11)</f>
        <v>117545, Москва, 1-й Дорожный проезд, д.8</v>
      </c>
      <c r="G109" s="894"/>
      <c r="H109" s="894"/>
      <c r="I109" s="894"/>
      <c r="J109" s="894"/>
      <c r="K109" s="895"/>
    </row>
    <row r="110" spans="1:11" ht="11.25" customHeight="1">
      <c r="A110" s="259" t="s">
        <v>388</v>
      </c>
      <c r="B110" s="920" t="s">
        <v>567</v>
      </c>
      <c r="C110" s="920"/>
      <c r="D110" s="920"/>
      <c r="E110" s="920"/>
      <c r="F110" s="267" t="s">
        <v>388</v>
      </c>
      <c r="G110" s="77" t="str">
        <f>CONCATENATE('Заявка стр. 1'!B12)</f>
        <v>7726687555</v>
      </c>
      <c r="H110" s="77"/>
      <c r="I110" s="77"/>
      <c r="J110" s="77"/>
      <c r="K110" s="260"/>
    </row>
    <row r="111" spans="1:11" ht="11.25" customHeight="1">
      <c r="A111" s="259" t="s">
        <v>389</v>
      </c>
      <c r="B111" s="920" t="s">
        <v>568</v>
      </c>
      <c r="C111" s="920"/>
      <c r="D111" s="920"/>
      <c r="E111" s="920"/>
      <c r="F111" s="267" t="s">
        <v>389</v>
      </c>
      <c r="G111" s="77" t="str">
        <f>CONCATENATE('Заявка стр. 1'!D12)</f>
        <v>772601001</v>
      </c>
      <c r="H111" s="77"/>
      <c r="I111" s="77"/>
      <c r="J111" s="77"/>
      <c r="K111" s="260"/>
    </row>
    <row r="112" spans="1:11" ht="11.25" customHeight="1">
      <c r="A112" s="259" t="s">
        <v>905</v>
      </c>
      <c r="B112" s="919" t="str">
        <f>CONCATENATE('содержание '!C103)</f>
        <v>40702810538000062287</v>
      </c>
      <c r="C112" s="919"/>
      <c r="D112" s="919"/>
      <c r="E112" s="919"/>
      <c r="F112" s="267" t="s">
        <v>905</v>
      </c>
      <c r="G112" s="77" t="str">
        <f>CONCATENATE('Заявка стр. 1'!B13)</f>
        <v>40702810838060014072</v>
      </c>
      <c r="H112" s="77"/>
      <c r="I112" s="77"/>
      <c r="J112" s="77"/>
      <c r="K112" s="260"/>
    </row>
    <row r="113" spans="1:11" ht="11.25" customHeight="1">
      <c r="A113" s="259" t="s">
        <v>906</v>
      </c>
      <c r="B113" s="920" t="s">
        <v>561</v>
      </c>
      <c r="C113" s="920"/>
      <c r="D113" s="920"/>
      <c r="E113" s="920"/>
      <c r="F113" s="267" t="s">
        <v>906</v>
      </c>
      <c r="G113" s="77" t="str">
        <f>CONCATENATE('Заявка стр. 1'!D13)</f>
        <v>30101810400000000225</v>
      </c>
      <c r="H113" s="77"/>
      <c r="I113" s="77"/>
      <c r="J113" s="77"/>
      <c r="K113" s="260"/>
    </row>
    <row r="114" spans="1:11" ht="11.25" customHeight="1">
      <c r="A114" s="261" t="s">
        <v>1042</v>
      </c>
      <c r="B114" s="77"/>
      <c r="C114" s="77"/>
      <c r="D114" s="77"/>
      <c r="E114" s="77"/>
      <c r="F114" s="921" t="str">
        <f>CONCATENATE('Заявка стр. 1'!B14)</f>
        <v>в ПАО Сбербанке</v>
      </c>
      <c r="G114" s="919"/>
      <c r="H114" s="919"/>
      <c r="I114" s="919"/>
      <c r="J114" s="919"/>
      <c r="K114" s="922"/>
    </row>
    <row r="115" spans="1:11" ht="11.25" customHeight="1">
      <c r="A115" s="259" t="s">
        <v>907</v>
      </c>
      <c r="B115" s="920" t="s">
        <v>1071</v>
      </c>
      <c r="C115" s="920"/>
      <c r="D115" s="920"/>
      <c r="E115" s="920"/>
      <c r="F115" s="267" t="s">
        <v>907</v>
      </c>
      <c r="G115" s="77" t="str">
        <f>CONCATENATE('Заявка стр. 1'!D16)</f>
        <v>044525225</v>
      </c>
      <c r="H115" s="77"/>
      <c r="I115" s="77"/>
      <c r="J115" s="77"/>
      <c r="K115" s="260"/>
    </row>
    <row r="116" spans="1:11" ht="17.25" customHeight="1">
      <c r="A116" s="262" t="s">
        <v>949</v>
      </c>
      <c r="B116" s="263"/>
      <c r="C116" s="263"/>
      <c r="D116" s="263"/>
      <c r="E116" s="263"/>
      <c r="F116" s="268" t="s">
        <v>218</v>
      </c>
      <c r="G116" s="213"/>
      <c r="H116" s="917" t="str">
        <f>CONCATENATE('Заявка стр. 1'!B10)</f>
        <v>117545, Москва, 1-й Дорожный проезд, д.8</v>
      </c>
      <c r="I116" s="917"/>
      <c r="J116" s="917"/>
      <c r="K116" s="918"/>
    </row>
    <row r="117" spans="1:11" ht="13.5" customHeight="1">
      <c r="A117" s="78"/>
      <c r="B117" s="76" t="s">
        <v>1007</v>
      </c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8" customHeight="1">
      <c r="A118" s="586" t="s">
        <v>319</v>
      </c>
      <c r="B118" s="264"/>
      <c r="C118" s="264"/>
      <c r="D118" s="264"/>
      <c r="E118" s="264"/>
      <c r="F118" s="587" t="s">
        <v>564</v>
      </c>
      <c r="G118" s="926" t="str">
        <f>CONCATENATE('Заявка стр. 1'!B4)</f>
        <v>АО "Научно-производственный центр "Вигстар"</v>
      </c>
      <c r="H118" s="927"/>
      <c r="I118" s="927"/>
      <c r="J118" s="927"/>
      <c r="K118" s="928"/>
    </row>
    <row r="119" spans="1:11" ht="15.75" customHeight="1">
      <c r="A119" s="267" t="s">
        <v>1091</v>
      </c>
      <c r="B119" s="22"/>
      <c r="C119" s="22"/>
      <c r="D119" s="22"/>
      <c r="E119" s="22"/>
      <c r="F119" s="912" t="str">
        <f>CONCATENATE('Заявка стр. 1'!B17)</f>
        <v>Заместитель генерального директора по экономике и финансам</v>
      </c>
      <c r="G119" s="913"/>
      <c r="H119" s="913"/>
      <c r="I119" s="913"/>
      <c r="J119" s="913"/>
      <c r="K119" s="914"/>
    </row>
    <row r="120" spans="1:11" ht="3" customHeight="1">
      <c r="A120" s="265"/>
      <c r="B120" s="22"/>
      <c r="C120" s="22"/>
      <c r="D120" s="22"/>
      <c r="E120" s="22"/>
      <c r="F120" s="910"/>
      <c r="G120" s="911"/>
      <c r="H120" s="911"/>
      <c r="I120" s="911"/>
      <c r="J120" s="911"/>
      <c r="K120" s="260"/>
    </row>
    <row r="121" spans="1:11" ht="14.25" customHeight="1">
      <c r="A121" s="938" t="str">
        <f>CONCATENATE('содержание '!B133)</f>
        <v>Маричев Сергей Николаевич</v>
      </c>
      <c r="B121" s="939"/>
      <c r="C121" s="939"/>
      <c r="D121" s="939"/>
      <c r="E121" s="940"/>
      <c r="F121" s="923" t="str">
        <f>CONCATENATE('Заявка стр. 1'!A19)</f>
        <v>Короткевич Олег Иосифович</v>
      </c>
      <c r="G121" s="924"/>
      <c r="H121" s="924"/>
      <c r="I121" s="924"/>
      <c r="J121" s="924"/>
      <c r="K121" s="925"/>
    </row>
    <row r="122" spans="1:11" ht="13.5">
      <c r="A122" s="933"/>
      <c r="B122" s="934"/>
      <c r="C122" s="934"/>
      <c r="D122" s="934"/>
      <c r="E122" s="935"/>
      <c r="F122" s="269"/>
      <c r="G122" s="79" t="s">
        <v>909</v>
      </c>
      <c r="H122" s="80"/>
      <c r="I122" s="81"/>
      <c r="J122" s="81"/>
      <c r="K122" s="260"/>
    </row>
    <row r="123" spans="1:11" ht="10.5" customHeight="1">
      <c r="A123" s="936" t="s">
        <v>730</v>
      </c>
      <c r="B123" s="937"/>
      <c r="C123" s="937"/>
      <c r="D123" s="45"/>
      <c r="E123" s="589"/>
      <c r="F123" s="270"/>
      <c r="G123" s="13"/>
      <c r="H123" s="13"/>
      <c r="I123" s="13"/>
      <c r="J123" s="13"/>
      <c r="K123" s="260"/>
    </row>
    <row r="124" spans="1:11" ht="8.25" customHeight="1">
      <c r="A124" s="265"/>
      <c r="B124" s="22"/>
      <c r="C124" s="22"/>
      <c r="D124" s="22"/>
      <c r="E124" s="22"/>
      <c r="F124" s="270"/>
      <c r="G124" s="13"/>
      <c r="H124" s="13"/>
      <c r="I124" s="13"/>
      <c r="J124" s="13"/>
      <c r="K124" s="260"/>
    </row>
    <row r="125" spans="1:11" ht="18" customHeight="1">
      <c r="A125" s="931" t="s">
        <v>438</v>
      </c>
      <c r="B125" s="932"/>
      <c r="C125" s="929" t="s">
        <v>258</v>
      </c>
      <c r="D125" s="929"/>
      <c r="E125" s="929"/>
      <c r="F125" s="931" t="s">
        <v>565</v>
      </c>
      <c r="G125" s="932"/>
      <c r="H125" s="929" t="s">
        <v>258</v>
      </c>
      <c r="I125" s="929"/>
      <c r="J125" s="929"/>
      <c r="K125" s="930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</sheetData>
  <sheetProtection password="CC03" sheet="1" selectLockedCells="1"/>
  <mergeCells count="125">
    <mergeCell ref="A4:B4"/>
    <mergeCell ref="C4:E4"/>
    <mergeCell ref="C6:F6"/>
    <mergeCell ref="E52:J52"/>
    <mergeCell ref="A48:D48"/>
    <mergeCell ref="A51:D51"/>
    <mergeCell ref="A50:D50"/>
    <mergeCell ref="A19:K19"/>
    <mergeCell ref="E50:J50"/>
    <mergeCell ref="E51:J51"/>
    <mergeCell ref="M3:Q20"/>
    <mergeCell ref="A79:F79"/>
    <mergeCell ref="A55:D55"/>
    <mergeCell ref="A61:D61"/>
    <mergeCell ref="E61:F61"/>
    <mergeCell ref="I61:K61"/>
    <mergeCell ref="G57:H57"/>
    <mergeCell ref="A66:F66"/>
    <mergeCell ref="G64:H64"/>
    <mergeCell ref="G66:K66"/>
    <mergeCell ref="H125:K125"/>
    <mergeCell ref="F125:G125"/>
    <mergeCell ref="A125:B125"/>
    <mergeCell ref="A122:E122"/>
    <mergeCell ref="A123:C123"/>
    <mergeCell ref="A121:E121"/>
    <mergeCell ref="C125:E125"/>
    <mergeCell ref="B113:E113"/>
    <mergeCell ref="F114:K114"/>
    <mergeCell ref="B110:E110"/>
    <mergeCell ref="F121:K121"/>
    <mergeCell ref="B111:E111"/>
    <mergeCell ref="G118:K118"/>
    <mergeCell ref="A97:K97"/>
    <mergeCell ref="A96:K96"/>
    <mergeCell ref="G72:K72"/>
    <mergeCell ref="F120:J120"/>
    <mergeCell ref="F119:K119"/>
    <mergeCell ref="A95:K95"/>
    <mergeCell ref="G107:K107"/>
    <mergeCell ref="H116:K116"/>
    <mergeCell ref="B112:E112"/>
    <mergeCell ref="B115:E115"/>
    <mergeCell ref="G74:K74"/>
    <mergeCell ref="G78:K80"/>
    <mergeCell ref="A98:K98"/>
    <mergeCell ref="A107:E107"/>
    <mergeCell ref="A76:D76"/>
    <mergeCell ref="A72:F72"/>
    <mergeCell ref="G76:K76"/>
    <mergeCell ref="A74:F74"/>
    <mergeCell ref="A100:K100"/>
    <mergeCell ref="A99:K99"/>
    <mergeCell ref="E46:J46"/>
    <mergeCell ref="A49:D49"/>
    <mergeCell ref="A47:D47"/>
    <mergeCell ref="A46:D46"/>
    <mergeCell ref="F109:K109"/>
    <mergeCell ref="A81:K81"/>
    <mergeCell ref="A70:F70"/>
    <mergeCell ref="I60:K60"/>
    <mergeCell ref="A64:D64"/>
    <mergeCell ref="H108:K108"/>
    <mergeCell ref="D22:K22"/>
    <mergeCell ref="B42:C42"/>
    <mergeCell ref="A31:K31"/>
    <mergeCell ref="A37:D37"/>
    <mergeCell ref="A34:D34"/>
    <mergeCell ref="A35:D35"/>
    <mergeCell ref="A1:H2"/>
    <mergeCell ref="A33:D33"/>
    <mergeCell ref="D21:K21"/>
    <mergeCell ref="A20:C20"/>
    <mergeCell ref="D20:K20"/>
    <mergeCell ref="A22:C22"/>
    <mergeCell ref="I6:J6"/>
    <mergeCell ref="E11:F11"/>
    <mergeCell ref="I7:J7"/>
    <mergeCell ref="H11:K11"/>
    <mergeCell ref="E60:F60"/>
    <mergeCell ref="B12:K12"/>
    <mergeCell ref="A18:K18"/>
    <mergeCell ref="A8:K8"/>
    <mergeCell ref="B11:C11"/>
    <mergeCell ref="C10:K10"/>
    <mergeCell ref="D13:K13"/>
    <mergeCell ref="A36:D36"/>
    <mergeCell ref="A21:C21"/>
    <mergeCell ref="E47:J47"/>
    <mergeCell ref="A58:D58"/>
    <mergeCell ref="G58:H58"/>
    <mergeCell ref="E54:J54"/>
    <mergeCell ref="E48:J48"/>
    <mergeCell ref="E49:J49"/>
    <mergeCell ref="E55:J55"/>
    <mergeCell ref="E53:J53"/>
    <mergeCell ref="A52:D52"/>
    <mergeCell ref="A53:D53"/>
    <mergeCell ref="G70:K70"/>
    <mergeCell ref="I64:K64"/>
    <mergeCell ref="A62:D62"/>
    <mergeCell ref="G62:H62"/>
    <mergeCell ref="E64:F64"/>
    <mergeCell ref="E62:F62"/>
    <mergeCell ref="A68:F68"/>
    <mergeCell ref="G61:H61"/>
    <mergeCell ref="A54:D54"/>
    <mergeCell ref="A60:D60"/>
    <mergeCell ref="G68:K68"/>
    <mergeCell ref="G60:H60"/>
    <mergeCell ref="I58:K58"/>
    <mergeCell ref="A57:D57"/>
    <mergeCell ref="I57:K57"/>
    <mergeCell ref="E58:F58"/>
    <mergeCell ref="E57:F57"/>
    <mergeCell ref="A105:K105"/>
    <mergeCell ref="A40:D40"/>
    <mergeCell ref="M22:Q22"/>
    <mergeCell ref="O21:Q21"/>
    <mergeCell ref="A30:K30"/>
    <mergeCell ref="D23:K23"/>
    <mergeCell ref="J29:K29"/>
    <mergeCell ref="A23:C23"/>
    <mergeCell ref="M39:Q62"/>
    <mergeCell ref="I62:K62"/>
  </mergeCells>
  <conditionalFormatting sqref="G78:K80 E42 I34 B12:K12 D13:K13 H6:K6 C4:E4 I40">
    <cfRule type="cellIs" priority="1" dxfId="69" operator="notEqual" stopIfTrue="1">
      <formula>0</formula>
    </cfRule>
  </conditionalFormatting>
  <conditionalFormatting sqref="N29:N31">
    <cfRule type="expression" priority="2" dxfId="65" stopIfTrue="1">
      <formula>$F$34&lt;16</formula>
    </cfRule>
  </conditionalFormatting>
  <conditionalFormatting sqref="H34:H37 H40">
    <cfRule type="cellIs" priority="3" dxfId="69" operator="greaterThan" stopIfTrue="1">
      <formula>1</formula>
    </cfRule>
  </conditionalFormatting>
  <hyperlinks>
    <hyperlink ref="P24" r:id="rId1" display="nikolasserious@gmail.com"/>
  </hyperlinks>
  <printOptions/>
  <pageMargins left="0.5905511811023623" right="0.3937007874015748" top="0.35433070866141736" bottom="0.5118110236220472" header="0.1968503937007874" footer="0.1968503937007874"/>
  <pageSetup fitToHeight="4" horizontalDpi="600" verticalDpi="600" orientation="portrait" paperSize="9" scale="86" r:id="rId4"/>
  <rowBreaks count="1" manualBreakCount="1">
    <brk id="55" max="10" man="1"/>
  </rowBreaks>
  <ignoredErrors>
    <ignoredError sqref="B110:B111 B113 B115" numberStoredAsText="1"/>
  </ignoredError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Y157"/>
  <sheetViews>
    <sheetView zoomScale="115" zoomScaleNormal="115" zoomScaleSheetLayoutView="100" zoomScalePageLayoutView="0" workbookViewId="0" topLeftCell="A37">
      <selection activeCell="A58" sqref="A58:F58"/>
    </sheetView>
  </sheetViews>
  <sheetFormatPr defaultColWidth="9.00390625" defaultRowHeight="12.75"/>
  <cols>
    <col min="1" max="1" width="7.875" style="1" customWidth="1"/>
    <col min="2" max="2" width="10.00390625" style="1" customWidth="1"/>
    <col min="3" max="3" width="10.375" style="1" customWidth="1"/>
    <col min="4" max="4" width="1.25" style="1" customWidth="1"/>
    <col min="5" max="5" width="9.125" style="1" customWidth="1"/>
    <col min="6" max="6" width="4.75390625" style="1" customWidth="1"/>
    <col min="7" max="7" width="10.00390625" style="1" customWidth="1"/>
    <col min="8" max="8" width="9.25390625" style="1" customWidth="1"/>
    <col min="9" max="9" width="10.75390625" style="1" customWidth="1"/>
    <col min="10" max="10" width="0.2421875" style="1" customWidth="1"/>
    <col min="11" max="11" width="8.875" style="1" customWidth="1"/>
    <col min="12" max="12" width="9.75390625" style="1" customWidth="1"/>
    <col min="13" max="13" width="5.25390625" style="7" customWidth="1"/>
    <col min="14" max="25" width="9.125" style="7" customWidth="1"/>
    <col min="26" max="16384" width="9.125" style="1" customWidth="1"/>
  </cols>
  <sheetData>
    <row r="1" spans="1:13" ht="14.25" customHeight="1">
      <c r="A1" s="1012" t="s">
        <v>225</v>
      </c>
      <c r="B1" s="1012"/>
      <c r="C1" s="1012"/>
      <c r="D1" s="1012"/>
      <c r="E1" s="1012"/>
      <c r="F1" s="1012"/>
      <c r="G1" s="1010">
        <v>1</v>
      </c>
      <c r="H1" s="1009" t="s">
        <v>123</v>
      </c>
      <c r="I1" s="1009"/>
      <c r="J1" s="1009"/>
      <c r="K1" s="1009"/>
      <c r="L1" s="1009"/>
      <c r="M1" s="971"/>
    </row>
    <row r="2" spans="1:18" ht="18.75" customHeight="1">
      <c r="A2" s="1004" t="s">
        <v>696</v>
      </c>
      <c r="B2" s="1004"/>
      <c r="C2" s="1004" t="str">
        <f>'содержание '!C79</f>
        <v>ArmHiTec-2016</v>
      </c>
      <c r="D2" s="1004"/>
      <c r="E2" s="1004"/>
      <c r="F2" s="22"/>
      <c r="G2" s="1010"/>
      <c r="H2" s="1009"/>
      <c r="I2" s="1009"/>
      <c r="J2" s="1009"/>
      <c r="K2" s="1009"/>
      <c r="L2" s="1009"/>
      <c r="M2" s="971"/>
      <c r="N2" s="993" t="s">
        <v>291</v>
      </c>
      <c r="O2" s="994"/>
      <c r="P2" s="994"/>
      <c r="Q2" s="994"/>
      <c r="R2" s="995"/>
    </row>
    <row r="3" spans="1:18" ht="24.75" customHeight="1">
      <c r="A3" s="417" t="s">
        <v>697</v>
      </c>
      <c r="B3" s="207" t="str">
        <f>CONCATENATE('содержание '!C104)</f>
        <v>/AHT</v>
      </c>
      <c r="C3" s="1005" t="s">
        <v>596</v>
      </c>
      <c r="D3" s="1005"/>
      <c r="E3" s="1005"/>
      <c r="F3" s="213"/>
      <c r="G3" s="1011"/>
      <c r="H3" s="1013" t="s">
        <v>624</v>
      </c>
      <c r="I3" s="1013"/>
      <c r="J3" s="214"/>
      <c r="K3" s="1002" t="str">
        <f>'содержание '!C95</f>
        <v>14 сентября 2016 г.</v>
      </c>
      <c r="L3" s="1002"/>
      <c r="M3" s="971"/>
      <c r="N3" s="996"/>
      <c r="O3" s="997"/>
      <c r="P3" s="997"/>
      <c r="Q3" s="997"/>
      <c r="R3" s="998"/>
    </row>
    <row r="4" spans="1:18" ht="3.75" customHeight="1">
      <c r="A4" s="162"/>
      <c r="B4" s="162"/>
      <c r="C4" s="162"/>
      <c r="D4" s="162"/>
      <c r="E4" s="156"/>
      <c r="F4" s="155"/>
      <c r="G4" s="155"/>
      <c r="H4" s="158"/>
      <c r="I4" s="158"/>
      <c r="J4" s="158"/>
      <c r="K4" s="158"/>
      <c r="L4" s="158"/>
      <c r="M4" s="971"/>
      <c r="N4" s="996"/>
      <c r="O4" s="997"/>
      <c r="P4" s="997"/>
      <c r="Q4" s="997"/>
      <c r="R4" s="998"/>
    </row>
    <row r="5" spans="1:18" ht="12" customHeight="1">
      <c r="A5" s="315" t="s">
        <v>121</v>
      </c>
      <c r="B5" s="721" t="s">
        <v>981</v>
      </c>
      <c r="C5" s="721"/>
      <c r="D5" s="169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728"/>
      <c r="I5" s="728"/>
      <c r="J5" s="161"/>
      <c r="K5" s="686" t="s">
        <v>272</v>
      </c>
      <c r="L5" s="291">
        <f>'Заявка стр. 2'!L8</f>
        <v>0</v>
      </c>
      <c r="M5" s="971"/>
      <c r="N5" s="996"/>
      <c r="O5" s="997"/>
      <c r="P5" s="997"/>
      <c r="Q5" s="997"/>
      <c r="R5" s="998"/>
    </row>
    <row r="6" spans="1:18" ht="2.25" customHeight="1">
      <c r="A6" s="193"/>
      <c r="B6" s="194"/>
      <c r="C6" s="165"/>
      <c r="D6" s="165"/>
      <c r="E6" s="155"/>
      <c r="F6" s="728"/>
      <c r="G6" s="728"/>
      <c r="H6" s="728"/>
      <c r="I6" s="728"/>
      <c r="J6" s="161"/>
      <c r="K6" s="153"/>
      <c r="L6" s="180"/>
      <c r="M6" s="971"/>
      <c r="N6" s="996"/>
      <c r="O6" s="997"/>
      <c r="P6" s="997"/>
      <c r="Q6" s="997"/>
      <c r="R6" s="998"/>
    </row>
    <row r="7" spans="1:18" ht="12" customHeight="1">
      <c r="A7" s="721" t="s">
        <v>980</v>
      </c>
      <c r="B7" s="721"/>
      <c r="C7" s="721"/>
      <c r="D7" s="721"/>
      <c r="E7" s="174"/>
      <c r="F7" s="818"/>
      <c r="G7" s="818"/>
      <c r="H7" s="818"/>
      <c r="I7" s="818"/>
      <c r="J7" s="161"/>
      <c r="K7" s="153" t="s">
        <v>713</v>
      </c>
      <c r="L7" s="291">
        <f>'Заявка стр. 2'!L10</f>
        <v>0</v>
      </c>
      <c r="M7" s="971"/>
      <c r="N7" s="996"/>
      <c r="O7" s="997"/>
      <c r="P7" s="997"/>
      <c r="Q7" s="997"/>
      <c r="R7" s="998"/>
    </row>
    <row r="8" spans="1:18" ht="2.25" customHeight="1">
      <c r="A8" s="166"/>
      <c r="B8" s="164"/>
      <c r="C8" s="167"/>
      <c r="D8" s="167"/>
      <c r="E8" s="157"/>
      <c r="F8" s="159"/>
      <c r="G8" s="179"/>
      <c r="H8" s="161"/>
      <c r="I8" s="161"/>
      <c r="J8" s="161"/>
      <c r="K8" s="154"/>
      <c r="L8" s="180"/>
      <c r="M8" s="971"/>
      <c r="N8" s="996"/>
      <c r="O8" s="997"/>
      <c r="P8" s="997"/>
      <c r="Q8" s="997"/>
      <c r="R8" s="998"/>
    </row>
    <row r="9" spans="1:18" ht="12" customHeight="1">
      <c r="A9" s="170" t="s">
        <v>982</v>
      </c>
      <c r="B9" s="1006" t="s">
        <v>1048</v>
      </c>
      <c r="C9" s="1006"/>
      <c r="D9" s="1006"/>
      <c r="E9" s="155" t="s">
        <v>977</v>
      </c>
      <c r="F9" s="159"/>
      <c r="G9" s="961" t="str">
        <f>CONCATENATE('Заявка стр. 1'!A25)</f>
        <v>Симонова Наталья Владимировна</v>
      </c>
      <c r="H9" s="961"/>
      <c r="I9" s="961"/>
      <c r="J9" s="161"/>
      <c r="K9" s="153" t="s">
        <v>979</v>
      </c>
      <c r="L9" s="291">
        <f>'Заявка стр. 2'!L12</f>
        <v>0</v>
      </c>
      <c r="M9" s="971"/>
      <c r="N9" s="996"/>
      <c r="O9" s="997"/>
      <c r="P9" s="997"/>
      <c r="Q9" s="997"/>
      <c r="R9" s="998"/>
    </row>
    <row r="10" spans="1:18" ht="2.25" customHeight="1">
      <c r="A10" s="166"/>
      <c r="B10" s="164"/>
      <c r="C10" s="167"/>
      <c r="D10" s="167"/>
      <c r="E10" s="157"/>
      <c r="F10" s="159"/>
      <c r="G10" s="179"/>
      <c r="H10" s="161"/>
      <c r="I10" s="161"/>
      <c r="J10" s="161"/>
      <c r="K10" s="154"/>
      <c r="L10" s="180"/>
      <c r="M10" s="971"/>
      <c r="N10" s="996"/>
      <c r="O10" s="997"/>
      <c r="P10" s="997"/>
      <c r="Q10" s="997"/>
      <c r="R10" s="998"/>
    </row>
    <row r="11" spans="1:18" ht="12" customHeight="1">
      <c r="A11" s="170" t="s">
        <v>595</v>
      </c>
      <c r="B11" s="585" t="s">
        <v>570</v>
      </c>
      <c r="C11" s="170"/>
      <c r="D11" s="171"/>
      <c r="E11" s="155" t="s">
        <v>978</v>
      </c>
      <c r="F11" s="159"/>
      <c r="G11" s="961" t="str">
        <f>CONCATENATE('Заявка стр. 1'!B27)</f>
        <v>(495) 276-52-71</v>
      </c>
      <c r="H11" s="961"/>
      <c r="I11" s="961"/>
      <c r="J11" s="161"/>
      <c r="K11" s="153"/>
      <c r="L11" s="180"/>
      <c r="M11" s="971"/>
      <c r="N11" s="996"/>
      <c r="O11" s="997"/>
      <c r="P11" s="997"/>
      <c r="Q11" s="997"/>
      <c r="R11" s="998"/>
    </row>
    <row r="12" spans="1:18" ht="3.75" customHeight="1">
      <c r="A12" s="203"/>
      <c r="B12" s="234"/>
      <c r="C12" s="203"/>
      <c r="D12" s="235"/>
      <c r="E12" s="221"/>
      <c r="F12" s="221"/>
      <c r="G12" s="236"/>
      <c r="H12" s="236"/>
      <c r="I12" s="236"/>
      <c r="J12" s="237"/>
      <c r="K12" s="209"/>
      <c r="L12" s="223"/>
      <c r="M12" s="971"/>
      <c r="N12" s="996"/>
      <c r="O12" s="997"/>
      <c r="P12" s="997"/>
      <c r="Q12" s="997"/>
      <c r="R12" s="998"/>
    </row>
    <row r="13" spans="1:25" s="156" customFormat="1" ht="24" customHeight="1">
      <c r="A13" s="960" t="s">
        <v>320</v>
      </c>
      <c r="B13" s="960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71"/>
      <c r="N13" s="996"/>
      <c r="O13" s="997"/>
      <c r="P13" s="997"/>
      <c r="Q13" s="997"/>
      <c r="R13" s="998"/>
      <c r="S13" s="155"/>
      <c r="T13" s="155"/>
      <c r="U13" s="155"/>
      <c r="V13" s="155"/>
      <c r="W13" s="155"/>
      <c r="X13" s="155"/>
      <c r="Y13" s="155"/>
    </row>
    <row r="14" spans="1:25" s="156" customFormat="1" ht="12.75" customHeight="1">
      <c r="A14" s="981" t="s">
        <v>695</v>
      </c>
      <c r="B14" s="981"/>
      <c r="C14" s="292" t="s">
        <v>172</v>
      </c>
      <c r="D14" s="292"/>
      <c r="E14" s="293"/>
      <c r="F14" s="293"/>
      <c r="G14" s="294"/>
      <c r="H14" s="981"/>
      <c r="I14" s="981"/>
      <c r="J14" s="981"/>
      <c r="K14" s="981"/>
      <c r="L14" s="981"/>
      <c r="M14" s="971"/>
      <c r="N14" s="996"/>
      <c r="O14" s="997"/>
      <c r="P14" s="997"/>
      <c r="Q14" s="997"/>
      <c r="R14" s="998"/>
      <c r="S14" s="155"/>
      <c r="T14" s="155"/>
      <c r="U14" s="155"/>
      <c r="V14" s="155"/>
      <c r="W14" s="155"/>
      <c r="X14" s="155"/>
      <c r="Y14" s="155"/>
    </row>
    <row r="15" spans="1:25" s="156" customFormat="1" ht="12" customHeight="1">
      <c r="A15" s="295" t="s">
        <v>521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971"/>
      <c r="N15" s="996"/>
      <c r="O15" s="997"/>
      <c r="P15" s="997"/>
      <c r="Q15" s="997"/>
      <c r="R15" s="998"/>
      <c r="S15" s="155"/>
      <c r="T15" s="155"/>
      <c r="U15" s="155"/>
      <c r="V15" s="155"/>
      <c r="W15" s="155"/>
      <c r="X15" s="155"/>
      <c r="Y15" s="155"/>
    </row>
    <row r="16" spans="1:25" s="156" customFormat="1" ht="12" customHeight="1">
      <c r="A16" s="1007" t="s">
        <v>911</v>
      </c>
      <c r="B16" s="1007"/>
      <c r="C16" s="1007"/>
      <c r="D16" s="1007"/>
      <c r="E16" s="1007"/>
      <c r="F16" s="1008"/>
      <c r="G16" s="190" t="s">
        <v>56</v>
      </c>
      <c r="H16" s="190" t="s">
        <v>912</v>
      </c>
      <c r="I16" s="190" t="s">
        <v>913</v>
      </c>
      <c r="J16" s="317"/>
      <c r="K16" s="318" t="s">
        <v>404</v>
      </c>
      <c r="L16" s="190" t="s">
        <v>405</v>
      </c>
      <c r="M16" s="971"/>
      <c r="N16" s="996"/>
      <c r="O16" s="997"/>
      <c r="P16" s="997"/>
      <c r="Q16" s="997"/>
      <c r="R16" s="998"/>
      <c r="S16" s="155"/>
      <c r="T16" s="155"/>
      <c r="U16" s="155"/>
      <c r="V16" s="155"/>
      <c r="W16" s="155"/>
      <c r="X16" s="155"/>
      <c r="Y16" s="155"/>
    </row>
    <row r="17" spans="1:25" s="140" customFormat="1" ht="10.5" customHeight="1">
      <c r="A17" s="892" t="s">
        <v>406</v>
      </c>
      <c r="B17" s="892"/>
      <c r="C17" s="892"/>
      <c r="D17" s="892"/>
      <c r="E17" s="892"/>
      <c r="F17" s="892"/>
      <c r="G17" s="228">
        <v>1</v>
      </c>
      <c r="H17" s="228">
        <v>1</v>
      </c>
      <c r="I17" s="228">
        <v>2</v>
      </c>
      <c r="J17" s="229"/>
      <c r="K17" s="230">
        <v>3</v>
      </c>
      <c r="L17" s="228">
        <v>4</v>
      </c>
      <c r="M17" s="971"/>
      <c r="N17" s="996"/>
      <c r="O17" s="997"/>
      <c r="P17" s="997"/>
      <c r="Q17" s="997"/>
      <c r="R17" s="998"/>
      <c r="S17" s="139"/>
      <c r="T17" s="139"/>
      <c r="U17" s="139"/>
      <c r="V17" s="139"/>
      <c r="W17" s="139"/>
      <c r="X17" s="139"/>
      <c r="Y17" s="139"/>
    </row>
    <row r="18" spans="1:25" s="140" customFormat="1" ht="10.5" customHeight="1">
      <c r="A18" s="892" t="s">
        <v>345</v>
      </c>
      <c r="B18" s="892"/>
      <c r="C18" s="892"/>
      <c r="D18" s="892"/>
      <c r="E18" s="892"/>
      <c r="F18" s="892"/>
      <c r="G18" s="225" t="s">
        <v>407</v>
      </c>
      <c r="H18" s="225" t="s">
        <v>407</v>
      </c>
      <c r="I18" s="225">
        <v>1</v>
      </c>
      <c r="J18" s="226"/>
      <c r="K18" s="227">
        <v>2</v>
      </c>
      <c r="L18" s="225">
        <v>2</v>
      </c>
      <c r="M18" s="971"/>
      <c r="N18" s="996"/>
      <c r="O18" s="997"/>
      <c r="P18" s="997"/>
      <c r="Q18" s="997"/>
      <c r="R18" s="998"/>
      <c r="S18" s="139"/>
      <c r="T18" s="139"/>
      <c r="U18" s="139"/>
      <c r="V18" s="139"/>
      <c r="W18" s="139"/>
      <c r="X18" s="139"/>
      <c r="Y18" s="139"/>
    </row>
    <row r="19" spans="1:25" s="140" customFormat="1" ht="10.5" customHeight="1">
      <c r="A19" s="892" t="s">
        <v>408</v>
      </c>
      <c r="B19" s="892"/>
      <c r="C19" s="892"/>
      <c r="D19" s="892"/>
      <c r="E19" s="892"/>
      <c r="F19" s="892"/>
      <c r="G19" s="225">
        <v>2</v>
      </c>
      <c r="H19" s="225">
        <v>2</v>
      </c>
      <c r="I19" s="225">
        <v>4</v>
      </c>
      <c r="J19" s="226"/>
      <c r="K19" s="227">
        <v>6</v>
      </c>
      <c r="L19" s="225">
        <v>8</v>
      </c>
      <c r="M19" s="971"/>
      <c r="N19" s="996"/>
      <c r="O19" s="997"/>
      <c r="P19" s="997"/>
      <c r="Q19" s="997"/>
      <c r="R19" s="998"/>
      <c r="S19" s="139"/>
      <c r="T19" s="139"/>
      <c r="U19" s="139"/>
      <c r="V19" s="139"/>
      <c r="W19" s="139"/>
      <c r="X19" s="139"/>
      <c r="Y19" s="139"/>
    </row>
    <row r="20" spans="1:25" s="140" customFormat="1" ht="10.5" customHeight="1">
      <c r="A20" s="892" t="s">
        <v>444</v>
      </c>
      <c r="B20" s="892"/>
      <c r="C20" s="892"/>
      <c r="D20" s="892"/>
      <c r="E20" s="892"/>
      <c r="F20" s="892"/>
      <c r="G20" s="225">
        <v>1</v>
      </c>
      <c r="H20" s="225">
        <v>1</v>
      </c>
      <c r="I20" s="225">
        <v>2</v>
      </c>
      <c r="J20" s="226"/>
      <c r="K20" s="227">
        <v>3</v>
      </c>
      <c r="L20" s="225">
        <v>4</v>
      </c>
      <c r="M20" s="971"/>
      <c r="N20" s="996"/>
      <c r="O20" s="997"/>
      <c r="P20" s="997"/>
      <c r="Q20" s="997"/>
      <c r="R20" s="998"/>
      <c r="S20" s="139"/>
      <c r="T20" s="139"/>
      <c r="U20" s="139"/>
      <c r="V20" s="139"/>
      <c r="W20" s="139"/>
      <c r="X20" s="139"/>
      <c r="Y20" s="139"/>
    </row>
    <row r="21" spans="1:25" s="140" customFormat="1" ht="10.5" customHeight="1">
      <c r="A21" s="892" t="s">
        <v>409</v>
      </c>
      <c r="B21" s="892"/>
      <c r="C21" s="892"/>
      <c r="D21" s="892"/>
      <c r="E21" s="892"/>
      <c r="F21" s="892"/>
      <c r="G21" s="225">
        <v>1</v>
      </c>
      <c r="H21" s="225">
        <v>1</v>
      </c>
      <c r="I21" s="225">
        <v>2</v>
      </c>
      <c r="J21" s="226"/>
      <c r="K21" s="227">
        <v>4</v>
      </c>
      <c r="L21" s="225">
        <v>6</v>
      </c>
      <c r="M21" s="971"/>
      <c r="N21" s="996"/>
      <c r="O21" s="997"/>
      <c r="P21" s="997"/>
      <c r="Q21" s="997"/>
      <c r="R21" s="998"/>
      <c r="S21" s="139"/>
      <c r="T21" s="139"/>
      <c r="U21" s="139"/>
      <c r="V21" s="139"/>
      <c r="W21" s="139"/>
      <c r="X21" s="139"/>
      <c r="Y21" s="139"/>
    </row>
    <row r="22" spans="1:25" s="140" customFormat="1" ht="10.5" customHeight="1">
      <c r="A22" s="892" t="s">
        <v>410</v>
      </c>
      <c r="B22" s="892"/>
      <c r="C22" s="892"/>
      <c r="D22" s="892"/>
      <c r="E22" s="892"/>
      <c r="F22" s="892"/>
      <c r="G22" s="225" t="s">
        <v>407</v>
      </c>
      <c r="H22" s="225">
        <v>1</v>
      </c>
      <c r="I22" s="225">
        <v>1</v>
      </c>
      <c r="J22" s="226"/>
      <c r="K22" s="227">
        <v>1</v>
      </c>
      <c r="L22" s="225">
        <v>1</v>
      </c>
      <c r="M22" s="971"/>
      <c r="N22" s="996"/>
      <c r="O22" s="997"/>
      <c r="P22" s="997"/>
      <c r="Q22" s="997"/>
      <c r="R22" s="998"/>
      <c r="S22" s="139"/>
      <c r="T22" s="139"/>
      <c r="U22" s="139"/>
      <c r="V22" s="139"/>
      <c r="W22" s="139"/>
      <c r="X22" s="139"/>
      <c r="Y22" s="139"/>
    </row>
    <row r="23" spans="1:25" s="140" customFormat="1" ht="10.5" customHeight="1">
      <c r="A23" s="892" t="s">
        <v>411</v>
      </c>
      <c r="B23" s="892"/>
      <c r="C23" s="892"/>
      <c r="D23" s="892"/>
      <c r="E23" s="892"/>
      <c r="F23" s="892"/>
      <c r="G23" s="225" t="s">
        <v>407</v>
      </c>
      <c r="H23" s="225">
        <v>1</v>
      </c>
      <c r="I23" s="225">
        <v>4</v>
      </c>
      <c r="J23" s="226"/>
      <c r="K23" s="227">
        <v>7</v>
      </c>
      <c r="L23" s="225">
        <v>12</v>
      </c>
      <c r="M23" s="971"/>
      <c r="N23" s="996"/>
      <c r="O23" s="997"/>
      <c r="P23" s="997"/>
      <c r="Q23" s="997"/>
      <c r="R23" s="998"/>
      <c r="S23" s="139"/>
      <c r="T23" s="139"/>
      <c r="U23" s="139"/>
      <c r="V23" s="139"/>
      <c r="W23" s="139"/>
      <c r="X23" s="139"/>
      <c r="Y23" s="139"/>
    </row>
    <row r="24" spans="1:25" s="297" customFormat="1" ht="26.25" customHeight="1">
      <c r="A24" s="973" t="s">
        <v>445</v>
      </c>
      <c r="B24" s="973"/>
      <c r="C24" s="973"/>
      <c r="D24" s="973"/>
      <c r="E24" s="973"/>
      <c r="F24" s="973"/>
      <c r="G24" s="973"/>
      <c r="H24" s="973"/>
      <c r="I24" s="973"/>
      <c r="J24" s="973"/>
      <c r="K24" s="973"/>
      <c r="L24" s="973"/>
      <c r="M24" s="971"/>
      <c r="N24" s="996"/>
      <c r="O24" s="997"/>
      <c r="P24" s="997"/>
      <c r="Q24" s="997"/>
      <c r="R24" s="998"/>
      <c r="S24" s="296"/>
      <c r="T24" s="296"/>
      <c r="U24" s="296"/>
      <c r="V24" s="296"/>
      <c r="W24" s="296"/>
      <c r="X24" s="296"/>
      <c r="Y24" s="296"/>
    </row>
    <row r="25" spans="1:25" s="156" customFormat="1" ht="13.5" customHeight="1">
      <c r="A25" s="155" t="s">
        <v>673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971"/>
      <c r="N25" s="999"/>
      <c r="O25" s="1000"/>
      <c r="P25" s="1000"/>
      <c r="Q25" s="1000"/>
      <c r="R25" s="1001"/>
      <c r="S25" s="159"/>
      <c r="T25" s="159"/>
      <c r="U25" s="159"/>
      <c r="V25" s="159"/>
      <c r="W25" s="155"/>
      <c r="X25" s="155"/>
      <c r="Y25" s="155"/>
    </row>
    <row r="26" spans="1:25" s="156" customFormat="1" ht="24" customHeight="1">
      <c r="A26" s="974" t="s">
        <v>990</v>
      </c>
      <c r="B26" s="974"/>
      <c r="C26" s="974"/>
      <c r="D26" s="974"/>
      <c r="E26" s="974"/>
      <c r="F26" s="974"/>
      <c r="G26" s="1003" t="s">
        <v>90</v>
      </c>
      <c r="H26" s="1003"/>
      <c r="I26" s="1003" t="s">
        <v>400</v>
      </c>
      <c r="J26" s="1003"/>
      <c r="K26" s="1003"/>
      <c r="L26" s="190" t="s">
        <v>87</v>
      </c>
      <c r="M26" s="971"/>
      <c r="N26" s="299"/>
      <c r="O26" s="299"/>
      <c r="P26" s="188"/>
      <c r="Q26" s="155"/>
      <c r="R26" s="299"/>
      <c r="S26" s="299"/>
      <c r="T26" s="299"/>
      <c r="U26" s="299"/>
      <c r="V26" s="299"/>
      <c r="W26" s="155"/>
      <c r="X26" s="155"/>
      <c r="Y26" s="155"/>
    </row>
    <row r="27" spans="1:25" s="156" customFormat="1" ht="13.5" customHeight="1" hidden="1">
      <c r="A27" s="1015" t="s">
        <v>988</v>
      </c>
      <c r="B27" s="1015"/>
      <c r="C27" s="1015"/>
      <c r="D27" s="1015"/>
      <c r="E27" s="1015"/>
      <c r="F27" s="1015"/>
      <c r="G27" s="972">
        <f>'содержание '!C115</f>
        <v>0</v>
      </c>
      <c r="H27" s="972"/>
      <c r="I27" s="975">
        <f>'Заявка стр. 2'!K31</f>
        <v>0</v>
      </c>
      <c r="J27" s="975"/>
      <c r="K27" s="976"/>
      <c r="L27" s="211">
        <f>G27*I27</f>
        <v>0</v>
      </c>
      <c r="M27" s="971"/>
      <c r="N27" s="159"/>
      <c r="O27" s="159"/>
      <c r="P27" s="159"/>
      <c r="R27" s="188"/>
      <c r="S27" s="301"/>
      <c r="T27" s="301"/>
      <c r="U27" s="301"/>
      <c r="V27" s="159"/>
      <c r="W27" s="155"/>
      <c r="X27" s="155"/>
      <c r="Y27" s="155"/>
    </row>
    <row r="28" spans="1:25" s="156" customFormat="1" ht="13.5" customHeight="1">
      <c r="A28" s="977" t="s">
        <v>989</v>
      </c>
      <c r="B28" s="977"/>
      <c r="C28" s="977"/>
      <c r="D28" s="977"/>
      <c r="E28" s="977"/>
      <c r="F28" s="977"/>
      <c r="G28" s="978">
        <f>73*49</f>
        <v>3577</v>
      </c>
      <c r="H28" s="979"/>
      <c r="I28" s="980">
        <f>'Заявка стр. 2'!K32</f>
        <v>0</v>
      </c>
      <c r="J28" s="980"/>
      <c r="K28" s="980"/>
      <c r="L28" s="198">
        <f>G28*I28</f>
        <v>0</v>
      </c>
      <c r="M28" s="971"/>
      <c r="N28" s="159"/>
      <c r="O28" s="159"/>
      <c r="P28" s="159"/>
      <c r="Q28" s="383" t="s">
        <v>668</v>
      </c>
      <c r="R28" s="188"/>
      <c r="S28" s="301"/>
      <c r="T28" s="301"/>
      <c r="U28" s="301"/>
      <c r="V28" s="159"/>
      <c r="W28" s="155"/>
      <c r="X28" s="155"/>
      <c r="Y28" s="155"/>
    </row>
    <row r="29" spans="1:22" s="155" customFormat="1" ht="13.5" customHeight="1">
      <c r="A29" s="958" t="s">
        <v>413</v>
      </c>
      <c r="B29" s="958"/>
      <c r="C29" s="958"/>
      <c r="D29" s="958"/>
      <c r="E29" s="958"/>
      <c r="F29" s="958"/>
      <c r="G29" s="958"/>
      <c r="H29" s="958"/>
      <c r="I29" s="958"/>
      <c r="J29" s="958"/>
      <c r="K29" s="958"/>
      <c r="L29" s="231">
        <f>'Заявка ДО №1.1'!M48</f>
        <v>40576</v>
      </c>
      <c r="M29" s="971"/>
      <c r="N29" s="299"/>
      <c r="O29" s="299"/>
      <c r="P29" s="299"/>
      <c r="Q29" s="299"/>
      <c r="R29" s="188"/>
      <c r="S29" s="188"/>
      <c r="T29" s="188"/>
      <c r="U29" s="188"/>
      <c r="V29" s="299"/>
    </row>
    <row r="30" spans="6:22" s="155" customFormat="1" ht="0.75" customHeight="1">
      <c r="F30" s="293"/>
      <c r="M30" s="971"/>
      <c r="N30" s="299"/>
      <c r="O30" s="299"/>
      <c r="P30" s="299"/>
      <c r="Q30" s="299"/>
      <c r="R30" s="188"/>
      <c r="S30" s="188"/>
      <c r="T30" s="188"/>
      <c r="U30" s="188"/>
      <c r="V30" s="299"/>
    </row>
    <row r="31" spans="1:14" s="155" customFormat="1" ht="27" customHeight="1">
      <c r="A31" s="963" t="s">
        <v>246</v>
      </c>
      <c r="B31" s="963"/>
      <c r="C31" s="963"/>
      <c r="D31" s="963"/>
      <c r="E31" s="963"/>
      <c r="F31" s="963"/>
      <c r="G31" s="963"/>
      <c r="H31" s="963"/>
      <c r="I31" s="963"/>
      <c r="J31" s="963"/>
      <c r="K31" s="963"/>
      <c r="L31" s="963"/>
      <c r="M31" s="971"/>
      <c r="N31" s="302"/>
    </row>
    <row r="32" spans="1:13" s="22" customFormat="1" ht="25.5" customHeight="1">
      <c r="A32" s="967"/>
      <c r="B32" s="967"/>
      <c r="C32" s="967"/>
      <c r="D32" s="967"/>
      <c r="E32" s="967"/>
      <c r="F32" s="967"/>
      <c r="G32" s="967"/>
      <c r="H32" s="967"/>
      <c r="I32" s="967"/>
      <c r="J32" s="967"/>
      <c r="K32" s="967"/>
      <c r="L32" s="967"/>
      <c r="M32" s="971"/>
    </row>
    <row r="33" spans="1:13" s="22" customFormat="1" ht="1.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971"/>
    </row>
    <row r="34" spans="1:25" s="156" customFormat="1" ht="24" customHeight="1">
      <c r="A34" s="957"/>
      <c r="B34" s="957"/>
      <c r="C34" s="957"/>
      <c r="D34" s="957"/>
      <c r="E34" s="957"/>
      <c r="F34" s="957"/>
      <c r="G34" s="957" t="s">
        <v>91</v>
      </c>
      <c r="H34" s="957"/>
      <c r="I34" s="957" t="s">
        <v>412</v>
      </c>
      <c r="J34" s="957"/>
      <c r="K34" s="957"/>
      <c r="L34" s="303" t="s">
        <v>87</v>
      </c>
      <c r="M34" s="971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</row>
    <row r="35" spans="1:25" s="156" customFormat="1" ht="13.5" customHeight="1">
      <c r="A35" s="969" t="s">
        <v>598</v>
      </c>
      <c r="B35" s="969"/>
      <c r="C35" s="969"/>
      <c r="D35" s="969"/>
      <c r="E35" s="969"/>
      <c r="F35" s="969"/>
      <c r="G35" s="966">
        <f>6*49</f>
        <v>294</v>
      </c>
      <c r="H35" s="966"/>
      <c r="I35" s="970">
        <v>0</v>
      </c>
      <c r="J35" s="970"/>
      <c r="K35" s="970"/>
      <c r="L35" s="199">
        <f>G35*I35</f>
        <v>0</v>
      </c>
      <c r="M35" s="971"/>
      <c r="N35" s="159"/>
      <c r="O35" s="299"/>
      <c r="P35" s="299"/>
      <c r="Q35" s="299"/>
      <c r="R35" s="188"/>
      <c r="S35" s="188"/>
      <c r="T35" s="188"/>
      <c r="U35" s="188"/>
      <c r="V35" s="299"/>
      <c r="W35" s="155"/>
      <c r="X35" s="155"/>
      <c r="Y35" s="155"/>
    </row>
    <row r="36" spans="6:22" s="155" customFormat="1" ht="2.25" customHeight="1">
      <c r="F36" s="299"/>
      <c r="G36" s="299"/>
      <c r="H36" s="299"/>
      <c r="I36" s="299"/>
      <c r="J36" s="299"/>
      <c r="K36" s="299"/>
      <c r="L36" s="304"/>
      <c r="M36" s="971"/>
      <c r="N36" s="304"/>
      <c r="O36" s="304"/>
      <c r="P36" s="959"/>
      <c r="Q36" s="959"/>
      <c r="R36" s="959"/>
      <c r="S36" s="959"/>
      <c r="T36" s="304"/>
      <c r="U36" s="968"/>
      <c r="V36" s="968"/>
    </row>
    <row r="37" spans="1:22" s="155" customFormat="1" ht="13.5" customHeight="1">
      <c r="A37" s="964" t="s">
        <v>847</v>
      </c>
      <c r="B37" s="964"/>
      <c r="C37" s="964"/>
      <c r="D37" s="964"/>
      <c r="E37" s="964"/>
      <c r="F37" s="964"/>
      <c r="G37" s="964"/>
      <c r="H37" s="964"/>
      <c r="I37" s="964"/>
      <c r="J37" s="964"/>
      <c r="K37" s="965"/>
      <c r="L37" s="232">
        <f>L27+L28+L29+L35</f>
        <v>40576</v>
      </c>
      <c r="M37" s="971"/>
      <c r="N37" s="301"/>
      <c r="O37" s="301"/>
      <c r="P37" s="307"/>
      <c r="Q37" s="307"/>
      <c r="R37" s="188"/>
      <c r="S37" s="174"/>
      <c r="T37" s="188"/>
      <c r="U37" s="188"/>
      <c r="V37" s="299"/>
    </row>
    <row r="38" spans="1:22" s="155" customFormat="1" ht="13.5" customHeight="1">
      <c r="A38" s="964" t="s">
        <v>848</v>
      </c>
      <c r="B38" s="964"/>
      <c r="C38" s="964"/>
      <c r="D38" s="964"/>
      <c r="E38" s="964"/>
      <c r="F38" s="964"/>
      <c r="G38" s="964"/>
      <c r="H38" s="964"/>
      <c r="I38" s="964"/>
      <c r="J38" s="964"/>
      <c r="K38" s="965"/>
      <c r="L38" s="232">
        <f>L37*0.18</f>
        <v>7303.679999999999</v>
      </c>
      <c r="M38" s="971"/>
      <c r="N38" s="301"/>
      <c r="O38" s="301"/>
      <c r="P38" s="307"/>
      <c r="Q38" s="307"/>
      <c r="R38" s="188"/>
      <c r="S38" s="174"/>
      <c r="T38" s="188"/>
      <c r="U38" s="188"/>
      <c r="V38" s="299"/>
    </row>
    <row r="39" spans="1:22" s="155" customFormat="1" ht="13.5" customHeight="1">
      <c r="A39" s="964" t="s">
        <v>849</v>
      </c>
      <c r="B39" s="964"/>
      <c r="C39" s="964"/>
      <c r="D39" s="964"/>
      <c r="E39" s="964"/>
      <c r="F39" s="964"/>
      <c r="G39" s="964"/>
      <c r="H39" s="964"/>
      <c r="I39" s="964"/>
      <c r="J39" s="964"/>
      <c r="K39" s="965"/>
      <c r="L39" s="232">
        <f>L37+L38</f>
        <v>47879.68</v>
      </c>
      <c r="M39" s="971"/>
      <c r="N39" s="301"/>
      <c r="O39" s="301"/>
      <c r="P39" s="307"/>
      <c r="Q39" s="307"/>
      <c r="R39" s="188"/>
      <c r="S39" s="188"/>
      <c r="T39" s="188"/>
      <c r="U39" s="188"/>
      <c r="V39" s="299"/>
    </row>
    <row r="40" spans="6:22" s="155" customFormat="1" ht="9.75" customHeight="1">
      <c r="F40" s="299"/>
      <c r="G40" s="299"/>
      <c r="H40" s="299"/>
      <c r="I40" s="299"/>
      <c r="J40" s="299"/>
      <c r="K40" s="299"/>
      <c r="L40" s="304"/>
      <c r="M40" s="971"/>
      <c r="N40" s="304"/>
      <c r="O40" s="304"/>
      <c r="P40" s="959"/>
      <c r="Q40" s="959"/>
      <c r="R40" s="959"/>
      <c r="S40" s="959"/>
      <c r="T40" s="304"/>
      <c r="U40" s="968"/>
      <c r="V40" s="968"/>
    </row>
    <row r="41" spans="1:22" s="155" customFormat="1" ht="13.5" customHeight="1" hidden="1">
      <c r="A41" s="964" t="s">
        <v>642</v>
      </c>
      <c r="B41" s="964"/>
      <c r="C41" s="964"/>
      <c r="D41" s="964"/>
      <c r="E41" s="964"/>
      <c r="F41" s="964"/>
      <c r="G41" s="964"/>
      <c r="H41" s="964"/>
      <c r="I41" s="964"/>
      <c r="J41" s="964"/>
      <c r="K41" s="965"/>
      <c r="L41" s="231">
        <f>L37*'содержание '!D106</f>
        <v>1825920</v>
      </c>
      <c r="M41" s="971"/>
      <c r="N41" s="301"/>
      <c r="O41" s="301"/>
      <c r="P41" s="307"/>
      <c r="Q41" s="307"/>
      <c r="R41" s="188"/>
      <c r="S41" s="174"/>
      <c r="T41" s="188"/>
      <c r="U41" s="188"/>
      <c r="V41" s="299"/>
    </row>
    <row r="42" spans="1:22" s="155" customFormat="1" ht="13.5" customHeight="1" hidden="1">
      <c r="A42" s="964" t="s">
        <v>643</v>
      </c>
      <c r="B42" s="964"/>
      <c r="C42" s="964"/>
      <c r="D42" s="964"/>
      <c r="E42" s="964"/>
      <c r="F42" s="964"/>
      <c r="G42" s="964"/>
      <c r="H42" s="964"/>
      <c r="I42" s="964"/>
      <c r="J42" s="964"/>
      <c r="K42" s="965"/>
      <c r="L42" s="231">
        <f>L41*0.18</f>
        <v>328665.6</v>
      </c>
      <c r="M42" s="971"/>
      <c r="N42" s="301"/>
      <c r="O42" s="301"/>
      <c r="P42" s="307"/>
      <c r="Q42" s="307"/>
      <c r="R42" s="188"/>
      <c r="S42" s="174"/>
      <c r="T42" s="188"/>
      <c r="U42" s="188"/>
      <c r="V42" s="299"/>
    </row>
    <row r="43" spans="1:22" s="155" customFormat="1" ht="13.5" customHeight="1" hidden="1">
      <c r="A43" s="964" t="s">
        <v>644</v>
      </c>
      <c r="B43" s="964"/>
      <c r="C43" s="964"/>
      <c r="D43" s="964"/>
      <c r="E43" s="964"/>
      <c r="F43" s="964"/>
      <c r="G43" s="964"/>
      <c r="H43" s="964"/>
      <c r="I43" s="964"/>
      <c r="J43" s="964"/>
      <c r="K43" s="965"/>
      <c r="L43" s="232">
        <f>L41+L42</f>
        <v>2154585.6</v>
      </c>
      <c r="M43" s="971"/>
      <c r="N43" s="301"/>
      <c r="O43" s="301"/>
      <c r="P43" s="307"/>
      <c r="Q43" s="307"/>
      <c r="R43" s="188"/>
      <c r="S43" s="188"/>
      <c r="T43" s="188"/>
      <c r="U43" s="188"/>
      <c r="V43" s="299"/>
    </row>
    <row r="44" spans="1:13" s="155" customFormat="1" ht="27" customHeight="1">
      <c r="A44" s="962" t="s">
        <v>77</v>
      </c>
      <c r="B44" s="962"/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423"/>
    </row>
    <row r="45" spans="1:13" s="155" customFormat="1" ht="53.25" customHeight="1">
      <c r="A45" s="962" t="s">
        <v>59</v>
      </c>
      <c r="B45" s="962"/>
      <c r="C45" s="962"/>
      <c r="D45" s="962"/>
      <c r="E45" s="962"/>
      <c r="F45" s="962"/>
      <c r="G45" s="962"/>
      <c r="H45" s="962"/>
      <c r="I45" s="962"/>
      <c r="J45" s="962"/>
      <c r="K45" s="962"/>
      <c r="L45" s="962"/>
      <c r="M45" s="381"/>
    </row>
    <row r="46" spans="1:13" s="155" customFormat="1" ht="12.75" customHeight="1">
      <c r="A46" s="962" t="s">
        <v>60</v>
      </c>
      <c r="B46" s="962"/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M46" s="378"/>
    </row>
    <row r="47" spans="1:13" s="155" customFormat="1" ht="13.5" customHeight="1">
      <c r="A47" s="962" t="s">
        <v>1080</v>
      </c>
      <c r="B47" s="962"/>
      <c r="C47" s="962"/>
      <c r="D47" s="962"/>
      <c r="E47" s="962"/>
      <c r="F47" s="962"/>
      <c r="G47" s="962"/>
      <c r="H47" s="985" t="str">
        <f>CONCATENATE('содержание '!C94,".")</f>
        <v>14 сентября 2016 г..</v>
      </c>
      <c r="I47" s="985"/>
      <c r="J47" s="311"/>
      <c r="K47" s="310"/>
      <c r="L47" s="310"/>
      <c r="M47" s="378"/>
    </row>
    <row r="48" spans="1:13" s="155" customFormat="1" ht="57" customHeight="1">
      <c r="A48" s="962" t="s">
        <v>771</v>
      </c>
      <c r="B48" s="962"/>
      <c r="C48" s="962"/>
      <c r="D48" s="962"/>
      <c r="E48" s="962"/>
      <c r="F48" s="962"/>
      <c r="G48" s="962"/>
      <c r="H48" s="962"/>
      <c r="I48" s="962"/>
      <c r="J48" s="962"/>
      <c r="K48" s="962"/>
      <c r="L48" s="962"/>
      <c r="M48" s="378"/>
    </row>
    <row r="49" spans="1:13" s="155" customFormat="1" ht="40.5" customHeight="1">
      <c r="A49" s="962" t="s">
        <v>73</v>
      </c>
      <c r="B49" s="962"/>
      <c r="C49" s="962"/>
      <c r="D49" s="962"/>
      <c r="E49" s="962"/>
      <c r="F49" s="962"/>
      <c r="G49" s="962"/>
      <c r="H49" s="962"/>
      <c r="I49" s="962"/>
      <c r="J49" s="962"/>
      <c r="K49" s="962"/>
      <c r="L49" s="962"/>
      <c r="M49" s="378"/>
    </row>
    <row r="50" spans="1:13" s="155" customFormat="1" ht="32.25" customHeight="1">
      <c r="A50" s="962" t="s">
        <v>143</v>
      </c>
      <c r="B50" s="962"/>
      <c r="C50" s="962"/>
      <c r="D50" s="962"/>
      <c r="E50" s="962"/>
      <c r="F50" s="962"/>
      <c r="G50" s="962"/>
      <c r="H50" s="962"/>
      <c r="I50" s="962"/>
      <c r="J50" s="962"/>
      <c r="K50" s="962"/>
      <c r="L50" s="962"/>
      <c r="M50" s="378"/>
    </row>
    <row r="51" spans="1:13" s="155" customFormat="1" ht="13.5">
      <c r="A51" s="983" t="s">
        <v>742</v>
      </c>
      <c r="B51" s="983"/>
      <c r="C51" s="983"/>
      <c r="D51" s="983"/>
      <c r="E51" s="983"/>
      <c r="F51" s="983"/>
      <c r="G51" s="983"/>
      <c r="H51" s="983"/>
      <c r="I51" s="983"/>
      <c r="J51" s="983"/>
      <c r="K51" s="983"/>
      <c r="L51" s="983"/>
      <c r="M51" s="378"/>
    </row>
    <row r="52" spans="1:13" s="155" customFormat="1" ht="13.5">
      <c r="A52" s="581"/>
      <c r="B52" s="581"/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378"/>
    </row>
    <row r="53" spans="1:13" ht="11.25" customHeight="1">
      <c r="A53" s="984" t="s">
        <v>357</v>
      </c>
      <c r="B53" s="984"/>
      <c r="C53" s="984"/>
      <c r="D53" s="984"/>
      <c r="E53" s="984"/>
      <c r="F53" s="984"/>
      <c r="G53" s="47" t="s">
        <v>564</v>
      </c>
      <c r="H53" s="1014" t="str">
        <f>CONCATENATE('Заявка стр. 1'!B4)</f>
        <v>АО "Научно-производственный центр "Вигстар"</v>
      </c>
      <c r="I53" s="1014"/>
      <c r="J53" s="1014"/>
      <c r="K53" s="1014"/>
      <c r="L53" s="1014"/>
      <c r="M53" s="348"/>
    </row>
    <row r="54" spans="1:13" ht="12" customHeight="1">
      <c r="A54" s="989" t="s">
        <v>1091</v>
      </c>
      <c r="B54" s="990"/>
      <c r="C54" s="990"/>
      <c r="D54" s="990"/>
      <c r="E54" s="990"/>
      <c r="F54" s="990"/>
      <c r="G54" s="47"/>
      <c r="H54" s="704" t="str">
        <f>CONCATENATE('Заявка стр. 1'!B17)</f>
        <v>Заместитель генерального директора по экономике и финансам</v>
      </c>
      <c r="I54" s="704"/>
      <c r="J54" s="704"/>
      <c r="K54" s="704"/>
      <c r="L54" s="704"/>
      <c r="M54" s="348"/>
    </row>
    <row r="55" spans="1:13" ht="12" customHeight="1">
      <c r="A55" s="623" t="s">
        <v>920</v>
      </c>
      <c r="B55" s="48"/>
      <c r="C55" s="48"/>
      <c r="D55" s="48"/>
      <c r="E55" s="48"/>
      <c r="F55" s="48"/>
      <c r="G55" s="47"/>
      <c r="H55" s="584"/>
      <c r="I55" s="584"/>
      <c r="J55" s="584"/>
      <c r="K55" s="584"/>
      <c r="L55" s="584"/>
      <c r="M55" s="348"/>
    </row>
    <row r="56" spans="1:13" ht="12.75" customHeight="1">
      <c r="A56" s="991"/>
      <c r="B56" s="992"/>
      <c r="C56" s="992"/>
      <c r="D56" s="992"/>
      <c r="E56" s="992"/>
      <c r="F56" s="992"/>
      <c r="G56" s="44"/>
      <c r="H56" s="988" t="str">
        <f>CONCATENATE('Заявка стр. 1'!A19)</f>
        <v>Короткевич Олег Иосифович</v>
      </c>
      <c r="I56" s="988"/>
      <c r="J56" s="988"/>
      <c r="K56" s="988"/>
      <c r="L56" s="988"/>
      <c r="M56" s="348"/>
    </row>
    <row r="57" spans="1:12" ht="10.5" customHeight="1">
      <c r="A57" s="987" t="s">
        <v>562</v>
      </c>
      <c r="B57" s="987"/>
      <c r="C57" s="987"/>
      <c r="D57" s="987"/>
      <c r="E57" s="987"/>
      <c r="F57" s="987"/>
      <c r="G57" s="307"/>
      <c r="H57" s="986" t="s">
        <v>414</v>
      </c>
      <c r="I57" s="986"/>
      <c r="J57" s="986"/>
      <c r="K57" s="986"/>
      <c r="L57" s="986"/>
    </row>
    <row r="58" spans="1:12" ht="15" customHeight="1">
      <c r="A58" s="982" t="s">
        <v>747</v>
      </c>
      <c r="B58" s="982"/>
      <c r="C58" s="982"/>
      <c r="D58" s="982"/>
      <c r="E58" s="982"/>
      <c r="F58" s="982"/>
      <c r="G58" s="40"/>
      <c r="H58" s="820" t="s">
        <v>747</v>
      </c>
      <c r="I58" s="820"/>
      <c r="J58" s="820"/>
      <c r="K58" s="820"/>
      <c r="L58" s="820"/>
    </row>
    <row r="59" spans="1:12" ht="12.75">
      <c r="A59" s="7"/>
      <c r="B59" s="7"/>
      <c r="C59" s="7"/>
      <c r="D59" s="7"/>
      <c r="E59" s="7"/>
      <c r="F59" s="40"/>
      <c r="G59" s="105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</sheetData>
  <sheetProtection password="CC03" sheet="1" selectLockedCells="1"/>
  <mergeCells count="77">
    <mergeCell ref="A22:F22"/>
    <mergeCell ref="H53:L53"/>
    <mergeCell ref="G26:H26"/>
    <mergeCell ref="A27:F27"/>
    <mergeCell ref="A39:K39"/>
    <mergeCell ref="A50:L50"/>
    <mergeCell ref="A43:K43"/>
    <mergeCell ref="A45:L45"/>
    <mergeCell ref="A46:L46"/>
    <mergeCell ref="A49:L49"/>
    <mergeCell ref="A7:D7"/>
    <mergeCell ref="H1:L2"/>
    <mergeCell ref="G1:G3"/>
    <mergeCell ref="A1:F1"/>
    <mergeCell ref="B5:C5"/>
    <mergeCell ref="A21:F21"/>
    <mergeCell ref="A14:B14"/>
    <mergeCell ref="A17:F17"/>
    <mergeCell ref="A18:F18"/>
    <mergeCell ref="H3:I3"/>
    <mergeCell ref="N2:R25"/>
    <mergeCell ref="K3:L3"/>
    <mergeCell ref="I26:K26"/>
    <mergeCell ref="A2:B2"/>
    <mergeCell ref="C2:E2"/>
    <mergeCell ref="C3:E3"/>
    <mergeCell ref="A23:F23"/>
    <mergeCell ref="A19:F19"/>
    <mergeCell ref="B9:D9"/>
    <mergeCell ref="A16:F16"/>
    <mergeCell ref="H58:L58"/>
    <mergeCell ref="H57:L57"/>
    <mergeCell ref="A57:F57"/>
    <mergeCell ref="H56:L56"/>
    <mergeCell ref="A54:F54"/>
    <mergeCell ref="A56:F56"/>
    <mergeCell ref="H54:L54"/>
    <mergeCell ref="I28:K28"/>
    <mergeCell ref="G11:I11"/>
    <mergeCell ref="A20:F20"/>
    <mergeCell ref="H14:L14"/>
    <mergeCell ref="A58:F58"/>
    <mergeCell ref="A51:L51"/>
    <mergeCell ref="A53:F53"/>
    <mergeCell ref="A47:G47"/>
    <mergeCell ref="H47:I47"/>
    <mergeCell ref="A48:L48"/>
    <mergeCell ref="U40:V40"/>
    <mergeCell ref="R40:S40"/>
    <mergeCell ref="M1:M43"/>
    <mergeCell ref="G27:H27"/>
    <mergeCell ref="A24:L24"/>
    <mergeCell ref="F5:I7"/>
    <mergeCell ref="A26:F26"/>
    <mergeCell ref="I27:K27"/>
    <mergeCell ref="A28:F28"/>
    <mergeCell ref="G28:H28"/>
    <mergeCell ref="G34:H34"/>
    <mergeCell ref="I34:K34"/>
    <mergeCell ref="G35:H35"/>
    <mergeCell ref="A32:L32"/>
    <mergeCell ref="A37:K37"/>
    <mergeCell ref="U36:V36"/>
    <mergeCell ref="A35:F35"/>
    <mergeCell ref="I35:K35"/>
    <mergeCell ref="R36:S36"/>
    <mergeCell ref="P36:Q36"/>
    <mergeCell ref="A34:F34"/>
    <mergeCell ref="A29:K29"/>
    <mergeCell ref="P40:Q40"/>
    <mergeCell ref="A13:L13"/>
    <mergeCell ref="G9:I9"/>
    <mergeCell ref="A44:L44"/>
    <mergeCell ref="A31:L31"/>
    <mergeCell ref="A41:K41"/>
    <mergeCell ref="A38:K38"/>
    <mergeCell ref="A42:K42"/>
  </mergeCells>
  <conditionalFormatting sqref="L5 L7 L9 L11">
    <cfRule type="cellIs" priority="1" dxfId="65" operator="equal" stopIfTrue="1">
      <formula>0</formula>
    </cfRule>
  </conditionalFormatting>
  <hyperlinks>
    <hyperlink ref="B11" r:id="rId1" display="montage@b95.ru"/>
  </hyperlinks>
  <printOptions/>
  <pageMargins left="0.5905511811023623" right="0" top="0.3937007874015748" bottom="0.3937007874015748" header="0.5118110236220472" footer="0.5118110236220472"/>
  <pageSetup fitToHeight="1" fitToWidth="1" horizontalDpi="600" verticalDpi="600" orientation="portrait" paperSize="9" scale="97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T91"/>
  <sheetViews>
    <sheetView zoomScale="115" zoomScaleNormal="115" zoomScalePageLayoutView="0" workbookViewId="0" topLeftCell="A43">
      <selection activeCell="D46" sqref="D46:H46"/>
    </sheetView>
  </sheetViews>
  <sheetFormatPr defaultColWidth="9.00390625" defaultRowHeight="12.75"/>
  <cols>
    <col min="1" max="1" width="14.625" style="0" customWidth="1"/>
    <col min="2" max="2" width="2.00390625" style="0" customWidth="1"/>
    <col min="3" max="3" width="6.625" style="0" customWidth="1"/>
    <col min="4" max="4" width="5.25390625" style="0" customWidth="1"/>
    <col min="5" max="5" width="3.25390625" style="0" customWidth="1"/>
    <col min="6" max="6" width="11.75390625" style="0" customWidth="1"/>
    <col min="7" max="7" width="2.125" style="0" customWidth="1"/>
    <col min="8" max="8" width="11.00390625" style="0" customWidth="1"/>
    <col min="9" max="9" width="7.375" style="0" customWidth="1"/>
    <col min="10" max="10" width="8.75390625" style="0" customWidth="1"/>
    <col min="11" max="11" width="0.6171875" style="0" customWidth="1"/>
    <col min="12" max="12" width="8.875" style="0" customWidth="1"/>
    <col min="13" max="13" width="9.625" style="0" customWidth="1"/>
    <col min="14" max="14" width="9.125" style="49" customWidth="1"/>
    <col min="15" max="15" width="11.625" style="49" bestFit="1" customWidth="1"/>
    <col min="16" max="20" width="9.125" style="49" customWidth="1"/>
  </cols>
  <sheetData>
    <row r="1" spans="1:13" ht="35.25" customHeight="1">
      <c r="A1" s="1034" t="s">
        <v>536</v>
      </c>
      <c r="B1" s="1034"/>
      <c r="C1" s="1034"/>
      <c r="D1" s="1034"/>
      <c r="E1" s="115"/>
      <c r="F1" s="115"/>
      <c r="G1" s="196"/>
      <c r="H1" s="1030" t="s">
        <v>49</v>
      </c>
      <c r="I1" s="1009" t="s">
        <v>248</v>
      </c>
      <c r="J1" s="1009"/>
      <c r="K1" s="1009"/>
      <c r="L1" s="1009"/>
      <c r="M1" s="1009"/>
    </row>
    <row r="2" spans="1:16" ht="15.75" customHeight="1">
      <c r="A2" s="1004" t="s">
        <v>247</v>
      </c>
      <c r="B2" s="1004"/>
      <c r="C2" s="1004"/>
      <c r="D2" s="1033" t="str">
        <f>'содержание '!C79</f>
        <v>ArmHiTec-2016</v>
      </c>
      <c r="E2" s="1033"/>
      <c r="F2" s="1033"/>
      <c r="G2" s="1033"/>
      <c r="H2" s="1031"/>
      <c r="I2" s="1028" t="s">
        <v>296</v>
      </c>
      <c r="J2" s="1028"/>
      <c r="K2" s="1028"/>
      <c r="L2" s="1028"/>
      <c r="M2" s="1028"/>
      <c r="P2" s="39"/>
    </row>
    <row r="3" spans="1:16" ht="15" customHeight="1">
      <c r="A3" s="1029" t="s">
        <v>697</v>
      </c>
      <c r="B3" s="1029"/>
      <c r="C3" s="1029"/>
      <c r="D3" s="207" t="str">
        <f>CONCATENATE('содержание '!C104)</f>
        <v>/AHT</v>
      </c>
      <c r="E3" s="1038" t="s">
        <v>257</v>
      </c>
      <c r="F3" s="1038"/>
      <c r="G3" s="1038"/>
      <c r="H3" s="1032"/>
      <c r="I3" s="1036" t="s">
        <v>985</v>
      </c>
      <c r="J3" s="1036"/>
      <c r="K3" s="216"/>
      <c r="L3" s="1037" t="str">
        <f>'содержание '!C95</f>
        <v>14 сентября 2016 г.</v>
      </c>
      <c r="M3" s="1037"/>
      <c r="P3" s="39"/>
    </row>
    <row r="4" spans="1:16" ht="3.75" customHeight="1">
      <c r="A4" s="31"/>
      <c r="B4" s="31"/>
      <c r="C4" s="31"/>
      <c r="D4" s="34"/>
      <c r="E4" s="34"/>
      <c r="F4" s="34"/>
      <c r="G4" s="152"/>
      <c r="H4" s="152"/>
      <c r="I4" s="35"/>
      <c r="J4" s="35"/>
      <c r="K4" s="35"/>
      <c r="L4" s="52"/>
      <c r="M4" s="52"/>
      <c r="P4" s="39"/>
    </row>
    <row r="5" spans="1:16" ht="13.5" customHeight="1">
      <c r="A5" s="315" t="s">
        <v>121</v>
      </c>
      <c r="B5" s="721" t="s">
        <v>981</v>
      </c>
      <c r="C5" s="721"/>
      <c r="D5" s="721"/>
      <c r="E5" s="721"/>
      <c r="F5" s="155" t="s">
        <v>564</v>
      </c>
      <c r="G5" s="728" t="str">
        <f>CONCATENATE('Заявка стр. 1'!B4)</f>
        <v>АО "Научно-производственный центр "Вигстар"</v>
      </c>
      <c r="H5" s="728"/>
      <c r="I5" s="728"/>
      <c r="J5" s="728"/>
      <c r="K5" s="174"/>
      <c r="L5" s="686" t="s">
        <v>272</v>
      </c>
      <c r="M5" s="291">
        <f>'Заявка стр. 2'!L8</f>
        <v>0</v>
      </c>
      <c r="P5" s="39"/>
    </row>
    <row r="6" spans="1:16" ht="2.25" customHeight="1">
      <c r="A6" s="193"/>
      <c r="B6" s="194"/>
      <c r="C6" s="165"/>
      <c r="D6" s="165"/>
      <c r="E6" s="165"/>
      <c r="F6" s="155"/>
      <c r="G6" s="728"/>
      <c r="H6" s="728"/>
      <c r="I6" s="728"/>
      <c r="J6" s="728"/>
      <c r="K6" s="174"/>
      <c r="L6" s="153"/>
      <c r="M6" s="180"/>
      <c r="P6" s="39"/>
    </row>
    <row r="7" spans="1:16" ht="13.5" customHeight="1">
      <c r="A7" s="721" t="s">
        <v>980</v>
      </c>
      <c r="B7" s="721"/>
      <c r="C7" s="721"/>
      <c r="D7" s="721"/>
      <c r="E7" s="721"/>
      <c r="F7" s="195"/>
      <c r="G7" s="1027"/>
      <c r="H7" s="1027"/>
      <c r="I7" s="1027"/>
      <c r="J7" s="1027"/>
      <c r="K7" s="174"/>
      <c r="L7" s="153" t="s">
        <v>713</v>
      </c>
      <c r="M7" s="291">
        <f>'Заявка стр. 2'!L10</f>
        <v>0</v>
      </c>
      <c r="P7" s="39"/>
    </row>
    <row r="8" spans="1:16" ht="2.25" customHeight="1">
      <c r="A8" s="166"/>
      <c r="B8" s="164"/>
      <c r="C8" s="167"/>
      <c r="D8" s="167"/>
      <c r="E8" s="167"/>
      <c r="F8" s="157"/>
      <c r="G8" s="49"/>
      <c r="H8" s="159"/>
      <c r="I8" s="163"/>
      <c r="J8" s="161"/>
      <c r="K8" s="161"/>
      <c r="L8" s="154"/>
      <c r="M8" s="180"/>
      <c r="P8" s="39"/>
    </row>
    <row r="9" spans="1:16" ht="13.5" customHeight="1">
      <c r="A9" s="170" t="s">
        <v>982</v>
      </c>
      <c r="B9" s="1019" t="s">
        <v>1049</v>
      </c>
      <c r="C9" s="1019"/>
      <c r="D9" s="1019"/>
      <c r="E9" s="1019"/>
      <c r="F9" s="155" t="s">
        <v>977</v>
      </c>
      <c r="G9" s="1039" t="str">
        <f>CONCATENATE('Заявка стр. 1'!A25)</f>
        <v>Симонова Наталья Владимировна</v>
      </c>
      <c r="H9" s="1039"/>
      <c r="I9" s="1039"/>
      <c r="J9" s="1039"/>
      <c r="K9" s="49"/>
      <c r="L9" s="153" t="s">
        <v>979</v>
      </c>
      <c r="M9" s="291">
        <f>'Заявка стр. 2'!L12</f>
        <v>0</v>
      </c>
      <c r="P9" s="39"/>
    </row>
    <row r="10" spans="1:16" ht="2.25" customHeight="1">
      <c r="A10" s="166"/>
      <c r="B10" s="164"/>
      <c r="C10" s="167"/>
      <c r="D10" s="167"/>
      <c r="E10" s="167"/>
      <c r="F10" s="157"/>
      <c r="G10" s="49"/>
      <c r="H10" s="159"/>
      <c r="I10" s="163"/>
      <c r="J10" s="161"/>
      <c r="K10" s="161"/>
      <c r="L10" s="154"/>
      <c r="M10" s="180"/>
      <c r="P10" s="39"/>
    </row>
    <row r="11" spans="1:16" ht="13.5" customHeight="1">
      <c r="A11" s="170" t="s">
        <v>595</v>
      </c>
      <c r="B11" s="1020" t="s">
        <v>570</v>
      </c>
      <c r="C11" s="1021"/>
      <c r="D11" s="1021"/>
      <c r="E11" s="1021"/>
      <c r="F11" s="155" t="s">
        <v>978</v>
      </c>
      <c r="G11" s="1040" t="str">
        <f>CONCATENATE('Заявка стр. 1'!B27)</f>
        <v>(495) 276-52-71</v>
      </c>
      <c r="H11" s="1040"/>
      <c r="I11" s="1040"/>
      <c r="J11" s="1040"/>
      <c r="K11" s="175"/>
      <c r="L11" s="153"/>
      <c r="M11" s="180"/>
      <c r="P11" s="39"/>
    </row>
    <row r="12" spans="1:16" ht="1.5" customHeight="1">
      <c r="A12" s="203"/>
      <c r="B12" s="204"/>
      <c r="C12" s="204"/>
      <c r="D12" s="204"/>
      <c r="E12" s="204"/>
      <c r="F12" s="221"/>
      <c r="G12" s="215"/>
      <c r="H12" s="221"/>
      <c r="I12" s="222"/>
      <c r="J12" s="222"/>
      <c r="K12" s="222"/>
      <c r="L12" s="209"/>
      <c r="M12" s="223"/>
      <c r="P12" s="39"/>
    </row>
    <row r="13" spans="1:13" s="51" customFormat="1" ht="14.25" customHeight="1">
      <c r="A13" s="369"/>
      <c r="B13" s="369"/>
      <c r="C13" s="369"/>
      <c r="D13" s="369"/>
      <c r="E13" s="369"/>
      <c r="F13" s="369"/>
      <c r="H13" s="367" t="s">
        <v>285</v>
      </c>
      <c r="I13" s="1035"/>
      <c r="J13" s="1035"/>
      <c r="K13" s="369"/>
      <c r="L13" s="369"/>
      <c r="M13" s="369"/>
    </row>
    <row r="14" spans="1:13" ht="23.25" customHeight="1">
      <c r="A14" s="49"/>
      <c r="B14" s="219"/>
      <c r="C14" s="220" t="s">
        <v>675</v>
      </c>
      <c r="D14" s="1022" t="s">
        <v>676</v>
      </c>
      <c r="E14" s="1023"/>
      <c r="F14" s="1023"/>
      <c r="G14" s="1023"/>
      <c r="H14" s="1024"/>
      <c r="I14" s="220" t="s">
        <v>882</v>
      </c>
      <c r="J14" s="220" t="s">
        <v>86</v>
      </c>
      <c r="K14" s="1025" t="s">
        <v>883</v>
      </c>
      <c r="L14" s="1025"/>
      <c r="M14" s="197" t="s">
        <v>87</v>
      </c>
    </row>
    <row r="15" spans="1:20" s="23" customFormat="1" ht="12" customHeight="1">
      <c r="A15" s="687" t="s">
        <v>534</v>
      </c>
      <c r="B15" s="50"/>
      <c r="C15" s="370" t="s">
        <v>2</v>
      </c>
      <c r="D15" s="969" t="s">
        <v>889</v>
      </c>
      <c r="E15" s="969"/>
      <c r="F15" s="969"/>
      <c r="G15" s="969"/>
      <c r="H15" s="969"/>
      <c r="I15" s="217" t="s">
        <v>887</v>
      </c>
      <c r="J15" s="217">
        <v>8400</v>
      </c>
      <c r="K15" s="1016">
        <v>0</v>
      </c>
      <c r="L15" s="1016"/>
      <c r="M15" s="672">
        <f aca="true" t="shared" si="0" ref="M15:M29">J15*K15</f>
        <v>0</v>
      </c>
      <c r="N15" s="39"/>
      <c r="O15" s="141"/>
      <c r="P15" s="39"/>
      <c r="Q15" s="39"/>
      <c r="R15" s="39"/>
      <c r="S15" s="39"/>
      <c r="T15" s="39"/>
    </row>
    <row r="16" spans="1:20" s="23" customFormat="1" ht="12" customHeight="1">
      <c r="A16" s="39"/>
      <c r="B16" s="50"/>
      <c r="C16" s="370" t="s">
        <v>300</v>
      </c>
      <c r="D16" s="969" t="s">
        <v>526</v>
      </c>
      <c r="E16" s="969"/>
      <c r="F16" s="969"/>
      <c r="G16" s="969"/>
      <c r="H16" s="969"/>
      <c r="I16" s="217" t="s">
        <v>887</v>
      </c>
      <c r="J16" s="217">
        <v>12000</v>
      </c>
      <c r="K16" s="1016">
        <v>0</v>
      </c>
      <c r="L16" s="1016"/>
      <c r="M16" s="672">
        <f t="shared" si="0"/>
        <v>0</v>
      </c>
      <c r="N16" s="39"/>
      <c r="O16" s="141"/>
      <c r="P16" s="39"/>
      <c r="Q16" s="39"/>
      <c r="R16" s="39"/>
      <c r="S16" s="39"/>
      <c r="T16" s="39"/>
    </row>
    <row r="17" spans="1:20" s="23" customFormat="1" ht="12" customHeight="1">
      <c r="A17" s="39"/>
      <c r="B17" s="50"/>
      <c r="C17" s="370" t="s">
        <v>3</v>
      </c>
      <c r="D17" s="969" t="s">
        <v>527</v>
      </c>
      <c r="E17" s="969"/>
      <c r="F17" s="969"/>
      <c r="G17" s="969"/>
      <c r="H17" s="969"/>
      <c r="I17" s="217" t="s">
        <v>887</v>
      </c>
      <c r="J17" s="217">
        <v>4459</v>
      </c>
      <c r="K17" s="1016">
        <v>0</v>
      </c>
      <c r="L17" s="1016"/>
      <c r="M17" s="672">
        <f t="shared" si="0"/>
        <v>0</v>
      </c>
      <c r="N17" s="39"/>
      <c r="O17" s="141"/>
      <c r="P17" s="39"/>
      <c r="Q17" s="39"/>
      <c r="R17" s="39"/>
      <c r="S17" s="39"/>
      <c r="T17" s="39"/>
    </row>
    <row r="18" spans="1:20" s="23" customFormat="1" ht="12" customHeight="1">
      <c r="A18" s="39"/>
      <c r="B18" s="50"/>
      <c r="C18" s="370" t="s">
        <v>4</v>
      </c>
      <c r="D18" s="969" t="s">
        <v>528</v>
      </c>
      <c r="E18" s="969"/>
      <c r="F18" s="969"/>
      <c r="G18" s="969"/>
      <c r="H18" s="969"/>
      <c r="I18" s="217" t="s">
        <v>887</v>
      </c>
      <c r="J18" s="217">
        <v>4459</v>
      </c>
      <c r="K18" s="1016">
        <v>0</v>
      </c>
      <c r="L18" s="1016"/>
      <c r="M18" s="672">
        <f t="shared" si="0"/>
        <v>0</v>
      </c>
      <c r="N18" s="39"/>
      <c r="O18" s="141"/>
      <c r="P18" s="39"/>
      <c r="Q18" s="39"/>
      <c r="R18" s="39"/>
      <c r="S18" s="39"/>
      <c r="T18" s="39"/>
    </row>
    <row r="19" spans="1:20" s="23" customFormat="1" ht="12" customHeight="1">
      <c r="A19" s="39"/>
      <c r="B19" s="50"/>
      <c r="C19" s="370" t="s">
        <v>5</v>
      </c>
      <c r="D19" s="969" t="s">
        <v>1089</v>
      </c>
      <c r="E19" s="969"/>
      <c r="F19" s="969"/>
      <c r="G19" s="969"/>
      <c r="H19" s="969"/>
      <c r="I19" s="217" t="s">
        <v>887</v>
      </c>
      <c r="J19" s="217">
        <v>3000</v>
      </c>
      <c r="K19" s="1016">
        <v>0</v>
      </c>
      <c r="L19" s="1016"/>
      <c r="M19" s="672">
        <f t="shared" si="0"/>
        <v>0</v>
      </c>
      <c r="N19" s="39"/>
      <c r="O19" s="141"/>
      <c r="P19" s="39"/>
      <c r="Q19" s="39"/>
      <c r="R19" s="39"/>
      <c r="S19" s="39"/>
      <c r="T19" s="39"/>
    </row>
    <row r="20" spans="1:20" s="23" customFormat="1" ht="12" customHeight="1">
      <c r="A20" s="39"/>
      <c r="B20" s="50"/>
      <c r="C20" s="370" t="s">
        <v>6</v>
      </c>
      <c r="D20" s="969" t="s">
        <v>1090</v>
      </c>
      <c r="E20" s="969"/>
      <c r="F20" s="969"/>
      <c r="G20" s="969"/>
      <c r="H20" s="969"/>
      <c r="I20" s="217" t="s">
        <v>887</v>
      </c>
      <c r="J20" s="217">
        <v>2401</v>
      </c>
      <c r="K20" s="1016">
        <v>0</v>
      </c>
      <c r="L20" s="1016"/>
      <c r="M20" s="672">
        <f t="shared" si="0"/>
        <v>0</v>
      </c>
      <c r="N20" s="39"/>
      <c r="O20" s="141"/>
      <c r="P20" s="39"/>
      <c r="Q20" s="39"/>
      <c r="R20" s="39"/>
      <c r="S20" s="39"/>
      <c r="T20" s="39"/>
    </row>
    <row r="21" spans="1:20" s="23" customFormat="1" ht="12" customHeight="1">
      <c r="A21" s="39"/>
      <c r="B21" s="50"/>
      <c r="C21" s="370" t="s">
        <v>7</v>
      </c>
      <c r="D21" s="969" t="s">
        <v>345</v>
      </c>
      <c r="E21" s="969"/>
      <c r="F21" s="969"/>
      <c r="G21" s="969"/>
      <c r="H21" s="969"/>
      <c r="I21" s="217" t="s">
        <v>887</v>
      </c>
      <c r="J21" s="217">
        <v>2401</v>
      </c>
      <c r="K21" s="1016">
        <v>0</v>
      </c>
      <c r="L21" s="1016"/>
      <c r="M21" s="672">
        <f t="shared" si="0"/>
        <v>0</v>
      </c>
      <c r="N21" s="39"/>
      <c r="O21" s="141"/>
      <c r="P21" s="39"/>
      <c r="Q21" s="39"/>
      <c r="R21" s="39"/>
      <c r="S21" s="39"/>
      <c r="T21" s="39"/>
    </row>
    <row r="22" spans="1:20" s="23" customFormat="1" ht="12" customHeight="1">
      <c r="A22" s="39"/>
      <c r="B22" s="50"/>
      <c r="C22" s="370" t="s">
        <v>8</v>
      </c>
      <c r="D22" s="969" t="s">
        <v>1094</v>
      </c>
      <c r="E22" s="969"/>
      <c r="F22" s="969"/>
      <c r="G22" s="969"/>
      <c r="H22" s="969"/>
      <c r="I22" s="217" t="s">
        <v>887</v>
      </c>
      <c r="J22" s="217">
        <v>2989</v>
      </c>
      <c r="K22" s="1016">
        <v>0</v>
      </c>
      <c r="L22" s="1016"/>
      <c r="M22" s="672">
        <f t="shared" si="0"/>
        <v>0</v>
      </c>
      <c r="N22" s="39"/>
      <c r="O22" s="141"/>
      <c r="P22" s="39"/>
      <c r="Q22" s="39"/>
      <c r="R22" s="39"/>
      <c r="S22" s="39"/>
      <c r="T22" s="39"/>
    </row>
    <row r="23" spans="1:20" s="23" customFormat="1" ht="12" customHeight="1">
      <c r="A23" s="39"/>
      <c r="B23" s="50"/>
      <c r="C23" s="370" t="s">
        <v>9</v>
      </c>
      <c r="D23" s="969" t="s">
        <v>1095</v>
      </c>
      <c r="E23" s="969"/>
      <c r="F23" s="969"/>
      <c r="G23" s="969"/>
      <c r="H23" s="969"/>
      <c r="I23" s="217" t="s">
        <v>887</v>
      </c>
      <c r="J23" s="217">
        <v>3000</v>
      </c>
      <c r="K23" s="1016">
        <v>0</v>
      </c>
      <c r="L23" s="1016"/>
      <c r="M23" s="672">
        <f t="shared" si="0"/>
        <v>0</v>
      </c>
      <c r="N23" s="39"/>
      <c r="O23" s="141"/>
      <c r="P23" s="39"/>
      <c r="Q23" s="39"/>
      <c r="R23" s="39"/>
      <c r="S23" s="39"/>
      <c r="T23" s="39"/>
    </row>
    <row r="24" spans="1:20" s="23" customFormat="1" ht="12" customHeight="1">
      <c r="A24" s="39"/>
      <c r="B24" s="50"/>
      <c r="C24" s="370" t="s">
        <v>10</v>
      </c>
      <c r="D24" s="969" t="s">
        <v>1096</v>
      </c>
      <c r="E24" s="969"/>
      <c r="F24" s="969"/>
      <c r="G24" s="969"/>
      <c r="H24" s="969"/>
      <c r="I24" s="217" t="s">
        <v>887</v>
      </c>
      <c r="J24" s="217">
        <v>1519</v>
      </c>
      <c r="K24" s="1016">
        <v>0</v>
      </c>
      <c r="L24" s="1016"/>
      <c r="M24" s="672">
        <f t="shared" si="0"/>
        <v>0</v>
      </c>
      <c r="N24" s="39"/>
      <c r="O24" s="141"/>
      <c r="P24" s="39"/>
      <c r="Q24" s="39"/>
      <c r="R24" s="39"/>
      <c r="S24" s="39"/>
      <c r="T24" s="39"/>
    </row>
    <row r="25" spans="1:20" s="23" customFormat="1" ht="12" customHeight="1">
      <c r="A25" s="39"/>
      <c r="B25" s="50"/>
      <c r="C25" s="370" t="s">
        <v>11</v>
      </c>
      <c r="D25" s="969" t="s">
        <v>177</v>
      </c>
      <c r="E25" s="969"/>
      <c r="F25" s="969"/>
      <c r="G25" s="969"/>
      <c r="H25" s="969"/>
      <c r="I25" s="217" t="s">
        <v>887</v>
      </c>
      <c r="J25" s="217">
        <v>1470</v>
      </c>
      <c r="K25" s="1016">
        <v>0</v>
      </c>
      <c r="L25" s="1016"/>
      <c r="M25" s="672">
        <f t="shared" si="0"/>
        <v>0</v>
      </c>
      <c r="N25" s="39"/>
      <c r="O25" s="141"/>
      <c r="P25" s="39"/>
      <c r="Q25" s="39"/>
      <c r="R25" s="39"/>
      <c r="S25" s="39"/>
      <c r="T25" s="39"/>
    </row>
    <row r="26" spans="1:20" s="23" customFormat="1" ht="12" customHeight="1">
      <c r="A26" s="39"/>
      <c r="B26" s="50"/>
      <c r="C26" s="370" t="s">
        <v>301</v>
      </c>
      <c r="D26" s="969" t="s">
        <v>178</v>
      </c>
      <c r="E26" s="969"/>
      <c r="F26" s="969"/>
      <c r="G26" s="969"/>
      <c r="H26" s="969"/>
      <c r="I26" s="217" t="s">
        <v>887</v>
      </c>
      <c r="J26" s="217">
        <v>2401</v>
      </c>
      <c r="K26" s="1016">
        <v>0</v>
      </c>
      <c r="L26" s="1016"/>
      <c r="M26" s="672">
        <f t="shared" si="0"/>
        <v>0</v>
      </c>
      <c r="N26" s="39"/>
      <c r="O26" s="141"/>
      <c r="P26" s="39"/>
      <c r="Q26" s="39"/>
      <c r="R26" s="39"/>
      <c r="S26" s="39"/>
      <c r="T26" s="39"/>
    </row>
    <row r="27" spans="1:20" s="23" customFormat="1" ht="12" customHeight="1">
      <c r="A27" s="984" t="s">
        <v>535</v>
      </c>
      <c r="B27" s="1026"/>
      <c r="C27" s="370" t="s">
        <v>12</v>
      </c>
      <c r="D27" s="969" t="s">
        <v>297</v>
      </c>
      <c r="E27" s="969"/>
      <c r="F27" s="969"/>
      <c r="G27" s="969"/>
      <c r="H27" s="969"/>
      <c r="I27" s="217" t="s">
        <v>1088</v>
      </c>
      <c r="J27" s="217">
        <v>4067</v>
      </c>
      <c r="K27" s="1016">
        <v>0</v>
      </c>
      <c r="L27" s="1016"/>
      <c r="M27" s="672">
        <f t="shared" si="0"/>
        <v>0</v>
      </c>
      <c r="N27" s="39"/>
      <c r="O27" s="141"/>
      <c r="P27" s="39"/>
      <c r="Q27" s="39"/>
      <c r="R27" s="39"/>
      <c r="S27" s="39"/>
      <c r="T27" s="39"/>
    </row>
    <row r="28" spans="1:20" s="23" customFormat="1" ht="12" customHeight="1">
      <c r="A28" s="984"/>
      <c r="B28" s="1026"/>
      <c r="C28" s="370" t="s">
        <v>13</v>
      </c>
      <c r="D28" s="969" t="s">
        <v>1086</v>
      </c>
      <c r="E28" s="969"/>
      <c r="F28" s="969"/>
      <c r="G28" s="969"/>
      <c r="H28" s="969"/>
      <c r="I28" s="217" t="s">
        <v>887</v>
      </c>
      <c r="J28" s="217">
        <v>6027</v>
      </c>
      <c r="K28" s="1016">
        <v>0</v>
      </c>
      <c r="L28" s="1016"/>
      <c r="M28" s="672">
        <f t="shared" si="0"/>
        <v>0</v>
      </c>
      <c r="N28" s="39"/>
      <c r="O28" s="141"/>
      <c r="P28" s="39"/>
      <c r="Q28" s="39"/>
      <c r="R28" s="39"/>
      <c r="S28" s="39"/>
      <c r="T28" s="39"/>
    </row>
    <row r="29" spans="1:20" s="23" customFormat="1" ht="12" customHeight="1">
      <c r="A29" s="39"/>
      <c r="B29" s="50"/>
      <c r="C29" s="370" t="s">
        <v>14</v>
      </c>
      <c r="D29" s="1042" t="s">
        <v>1087</v>
      </c>
      <c r="E29" s="1043"/>
      <c r="F29" s="1043"/>
      <c r="G29" s="1043"/>
      <c r="H29" s="1044"/>
      <c r="I29" s="217" t="s">
        <v>887</v>
      </c>
      <c r="J29" s="217">
        <v>1225</v>
      </c>
      <c r="K29" s="1045">
        <v>0</v>
      </c>
      <c r="L29" s="1046"/>
      <c r="M29" s="672">
        <f t="shared" si="0"/>
        <v>0</v>
      </c>
      <c r="N29" s="39"/>
      <c r="O29" s="141"/>
      <c r="P29" s="39"/>
      <c r="Q29" s="39"/>
      <c r="R29" s="39"/>
      <c r="S29" s="39"/>
      <c r="T29" s="39"/>
    </row>
    <row r="30" spans="1:20" s="23" customFormat="1" ht="12" customHeight="1">
      <c r="A30" s="39"/>
      <c r="B30" s="50"/>
      <c r="C30" s="370" t="s">
        <v>15</v>
      </c>
      <c r="D30" s="969" t="s">
        <v>911</v>
      </c>
      <c r="E30" s="969"/>
      <c r="F30" s="969"/>
      <c r="G30" s="969"/>
      <c r="H30" s="969"/>
      <c r="I30" s="217" t="s">
        <v>1088</v>
      </c>
      <c r="J30" s="217">
        <v>1078</v>
      </c>
      <c r="K30" s="1016">
        <v>0</v>
      </c>
      <c r="L30" s="1016"/>
      <c r="M30" s="672">
        <f aca="true" t="shared" si="1" ref="M30:M41">J30*K30</f>
        <v>0</v>
      </c>
      <c r="N30" s="39"/>
      <c r="O30" s="141"/>
      <c r="P30" s="39"/>
      <c r="Q30" s="39"/>
      <c r="R30" s="39"/>
      <c r="S30" s="39"/>
      <c r="T30" s="39"/>
    </row>
    <row r="31" spans="1:20" s="23" customFormat="1" ht="25.5" customHeight="1">
      <c r="A31" s="984" t="s">
        <v>533</v>
      </c>
      <c r="B31" s="1026"/>
      <c r="C31" s="370" t="s">
        <v>16</v>
      </c>
      <c r="D31" s="969" t="s">
        <v>446</v>
      </c>
      <c r="E31" s="969"/>
      <c r="F31" s="969"/>
      <c r="G31" s="969"/>
      <c r="H31" s="969"/>
      <c r="I31" s="217" t="s">
        <v>887</v>
      </c>
      <c r="J31" s="217">
        <v>4361</v>
      </c>
      <c r="K31" s="1016">
        <v>0</v>
      </c>
      <c r="L31" s="1016"/>
      <c r="M31" s="672">
        <f t="shared" si="1"/>
        <v>0</v>
      </c>
      <c r="N31" s="39"/>
      <c r="O31" s="141"/>
      <c r="P31" s="39"/>
      <c r="Q31" s="39"/>
      <c r="R31" s="39"/>
      <c r="S31" s="39"/>
      <c r="T31" s="39"/>
    </row>
    <row r="32" spans="1:20" s="23" customFormat="1" ht="12" customHeight="1">
      <c r="A32" s="984"/>
      <c r="B32" s="1026"/>
      <c r="C32" s="370" t="s">
        <v>17</v>
      </c>
      <c r="D32" s="1047" t="s">
        <v>206</v>
      </c>
      <c r="E32" s="1047"/>
      <c r="F32" s="1047"/>
      <c r="G32" s="1047"/>
      <c r="H32" s="1047"/>
      <c r="I32" s="1047"/>
      <c r="J32" s="1047"/>
      <c r="K32" s="1047"/>
      <c r="L32" s="1047"/>
      <c r="M32" s="1048"/>
      <c r="N32" s="39"/>
      <c r="O32" s="141"/>
      <c r="P32" s="39"/>
      <c r="Q32" s="39"/>
      <c r="R32" s="39"/>
      <c r="S32" s="39"/>
      <c r="T32" s="39"/>
    </row>
    <row r="33" spans="1:20" s="23" customFormat="1" ht="12" customHeight="1">
      <c r="A33" s="39"/>
      <c r="B33" s="50"/>
      <c r="C33" s="370" t="s">
        <v>18</v>
      </c>
      <c r="D33" s="969" t="s">
        <v>1097</v>
      </c>
      <c r="E33" s="969"/>
      <c r="F33" s="969"/>
      <c r="G33" s="969"/>
      <c r="H33" s="969"/>
      <c r="I33" s="217" t="s">
        <v>887</v>
      </c>
      <c r="J33" s="217">
        <v>1225</v>
      </c>
      <c r="K33" s="1016">
        <v>0</v>
      </c>
      <c r="L33" s="1016"/>
      <c r="M33" s="672">
        <f t="shared" si="1"/>
        <v>0</v>
      </c>
      <c r="N33" s="39"/>
      <c r="O33" s="141"/>
      <c r="P33" s="39"/>
      <c r="Q33" s="39"/>
      <c r="R33" s="39"/>
      <c r="S33" s="39"/>
      <c r="T33" s="39"/>
    </row>
    <row r="34" spans="1:20" s="23" customFormat="1" ht="12" customHeight="1">
      <c r="A34" s="984" t="s">
        <v>250</v>
      </c>
      <c r="B34" s="1026"/>
      <c r="C34" s="370" t="s">
        <v>19</v>
      </c>
      <c r="D34" s="969" t="s">
        <v>1098</v>
      </c>
      <c r="E34" s="969"/>
      <c r="F34" s="969"/>
      <c r="G34" s="969"/>
      <c r="H34" s="969"/>
      <c r="I34" s="217" t="s">
        <v>1099</v>
      </c>
      <c r="J34" s="217">
        <v>1519</v>
      </c>
      <c r="K34" s="1016">
        <v>0</v>
      </c>
      <c r="L34" s="1016"/>
      <c r="M34" s="672">
        <f t="shared" si="1"/>
        <v>0</v>
      </c>
      <c r="N34" s="39"/>
      <c r="O34" s="141"/>
      <c r="P34" s="39"/>
      <c r="Q34" s="39"/>
      <c r="R34" s="39"/>
      <c r="S34" s="39"/>
      <c r="T34" s="39"/>
    </row>
    <row r="35" spans="1:20" s="23" customFormat="1" ht="12" customHeight="1">
      <c r="A35" s="984"/>
      <c r="B35" s="1026"/>
      <c r="C35" s="370" t="s">
        <v>20</v>
      </c>
      <c r="D35" s="969" t="s">
        <v>305</v>
      </c>
      <c r="E35" s="969"/>
      <c r="F35" s="969"/>
      <c r="G35" s="969"/>
      <c r="H35" s="969"/>
      <c r="I35" s="217" t="s">
        <v>1085</v>
      </c>
      <c r="J35" s="217">
        <v>1519</v>
      </c>
      <c r="K35" s="1016">
        <v>0</v>
      </c>
      <c r="L35" s="1016"/>
      <c r="M35" s="672">
        <f t="shared" si="1"/>
        <v>0</v>
      </c>
      <c r="N35" s="39"/>
      <c r="O35" s="141"/>
      <c r="P35" s="39"/>
      <c r="Q35" s="39"/>
      <c r="R35" s="39"/>
      <c r="S35" s="39"/>
      <c r="T35" s="39"/>
    </row>
    <row r="36" spans="1:20" s="23" customFormat="1" ht="12" customHeight="1">
      <c r="A36" s="39"/>
      <c r="B36" s="50"/>
      <c r="C36" s="370" t="s">
        <v>21</v>
      </c>
      <c r="D36" s="969" t="s">
        <v>890</v>
      </c>
      <c r="E36" s="969"/>
      <c r="F36" s="969"/>
      <c r="G36" s="969"/>
      <c r="H36" s="969"/>
      <c r="I36" s="217" t="s">
        <v>1099</v>
      </c>
      <c r="J36" s="217">
        <v>2695</v>
      </c>
      <c r="K36" s="1016">
        <v>0</v>
      </c>
      <c r="L36" s="1016"/>
      <c r="M36" s="672">
        <f t="shared" si="1"/>
        <v>0</v>
      </c>
      <c r="N36" s="39"/>
      <c r="O36" s="141"/>
      <c r="P36" s="39"/>
      <c r="Q36" s="39"/>
      <c r="R36" s="39"/>
      <c r="S36" s="39"/>
      <c r="T36" s="39"/>
    </row>
    <row r="37" spans="1:20" s="23" customFormat="1" ht="12.75" customHeight="1">
      <c r="A37" s="39"/>
      <c r="B37" s="50"/>
      <c r="C37" s="370" t="s">
        <v>22</v>
      </c>
      <c r="D37" s="969" t="s">
        <v>891</v>
      </c>
      <c r="E37" s="969"/>
      <c r="F37" s="969"/>
      <c r="G37" s="969"/>
      <c r="H37" s="969"/>
      <c r="I37" s="217" t="s">
        <v>1088</v>
      </c>
      <c r="J37" s="217">
        <v>2401</v>
      </c>
      <c r="K37" s="1016">
        <v>0</v>
      </c>
      <c r="L37" s="1016"/>
      <c r="M37" s="672">
        <f t="shared" si="1"/>
        <v>0</v>
      </c>
      <c r="N37" s="39"/>
      <c r="O37" s="141"/>
      <c r="P37" s="39"/>
      <c r="Q37" s="39"/>
      <c r="R37" s="39"/>
      <c r="S37" s="39"/>
      <c r="T37" s="39"/>
    </row>
    <row r="38" spans="1:20" s="23" customFormat="1" ht="12.75" customHeight="1">
      <c r="A38" s="39"/>
      <c r="B38" s="50"/>
      <c r="C38" s="370" t="s">
        <v>23</v>
      </c>
      <c r="D38" s="969" t="s">
        <v>892</v>
      </c>
      <c r="E38" s="969"/>
      <c r="F38" s="969"/>
      <c r="G38" s="969"/>
      <c r="H38" s="969"/>
      <c r="I38" s="217" t="s">
        <v>1088</v>
      </c>
      <c r="J38" s="217">
        <v>2401</v>
      </c>
      <c r="K38" s="1016">
        <v>0</v>
      </c>
      <c r="L38" s="1016"/>
      <c r="M38" s="672">
        <f t="shared" si="1"/>
        <v>0</v>
      </c>
      <c r="N38" s="39"/>
      <c r="O38" s="141"/>
      <c r="P38" s="39"/>
      <c r="Q38" s="39"/>
      <c r="R38" s="39"/>
      <c r="S38" s="39"/>
      <c r="T38" s="39"/>
    </row>
    <row r="39" spans="1:20" s="23" customFormat="1" ht="38.25" customHeight="1">
      <c r="A39" s="984" t="s">
        <v>299</v>
      </c>
      <c r="B39" s="1026"/>
      <c r="C39" s="370" t="s">
        <v>24</v>
      </c>
      <c r="D39" s="969" t="s">
        <v>298</v>
      </c>
      <c r="E39" s="969"/>
      <c r="F39" s="969"/>
      <c r="G39" s="969"/>
      <c r="H39" s="969"/>
      <c r="I39" s="217" t="s">
        <v>1088</v>
      </c>
      <c r="J39" s="217">
        <v>784</v>
      </c>
      <c r="K39" s="1016">
        <v>0</v>
      </c>
      <c r="L39" s="1016"/>
      <c r="M39" s="672">
        <f>J39*K39</f>
        <v>0</v>
      </c>
      <c r="N39" s="39"/>
      <c r="O39" s="141"/>
      <c r="P39" s="39"/>
      <c r="Q39" s="39"/>
      <c r="R39" s="39"/>
      <c r="S39" s="39"/>
      <c r="T39" s="39"/>
    </row>
    <row r="40" spans="1:20" s="23" customFormat="1" ht="12" customHeight="1">
      <c r="A40" s="984" t="s">
        <v>35</v>
      </c>
      <c r="B40" s="1026"/>
      <c r="C40" s="370" t="s">
        <v>302</v>
      </c>
      <c r="D40" s="969" t="s">
        <v>648</v>
      </c>
      <c r="E40" s="969"/>
      <c r="F40" s="969"/>
      <c r="G40" s="969"/>
      <c r="H40" s="969"/>
      <c r="I40" s="217" t="s">
        <v>887</v>
      </c>
      <c r="J40" s="217">
        <v>5145</v>
      </c>
      <c r="K40" s="1016">
        <v>0</v>
      </c>
      <c r="L40" s="1016"/>
      <c r="M40" s="673">
        <f t="shared" si="1"/>
        <v>0</v>
      </c>
      <c r="N40" s="39"/>
      <c r="O40" s="141"/>
      <c r="P40" s="39"/>
      <c r="Q40" s="39"/>
      <c r="R40" s="39"/>
      <c r="S40" s="39"/>
      <c r="T40" s="39"/>
    </row>
    <row r="41" spans="1:20" s="23" customFormat="1" ht="12" customHeight="1">
      <c r="A41" s="984"/>
      <c r="B41" s="1026"/>
      <c r="C41" s="370" t="s">
        <v>303</v>
      </c>
      <c r="D41" s="969" t="s">
        <v>57</v>
      </c>
      <c r="E41" s="969"/>
      <c r="F41" s="969"/>
      <c r="G41" s="969"/>
      <c r="H41" s="969"/>
      <c r="I41" s="217" t="s">
        <v>887</v>
      </c>
      <c r="J41" s="217">
        <v>588</v>
      </c>
      <c r="K41" s="1016">
        <v>0</v>
      </c>
      <c r="L41" s="1016"/>
      <c r="M41" s="672">
        <f t="shared" si="1"/>
        <v>0</v>
      </c>
      <c r="N41" s="39"/>
      <c r="O41" s="141"/>
      <c r="P41" s="39"/>
      <c r="Q41" s="39"/>
      <c r="R41" s="39"/>
      <c r="S41" s="39"/>
      <c r="T41" s="39"/>
    </row>
    <row r="42" spans="1:20" s="23" customFormat="1" ht="12" customHeight="1">
      <c r="A42" s="984" t="s">
        <v>207</v>
      </c>
      <c r="B42" s="1026"/>
      <c r="C42" s="370" t="s">
        <v>179</v>
      </c>
      <c r="D42" s="1049" t="s">
        <v>974</v>
      </c>
      <c r="E42" s="1050"/>
      <c r="F42" s="1050"/>
      <c r="G42" s="1050"/>
      <c r="H42" s="1051"/>
      <c r="I42" s="699" t="s">
        <v>887</v>
      </c>
      <c r="J42" s="699">
        <v>3577</v>
      </c>
      <c r="K42" s="1016">
        <v>6</v>
      </c>
      <c r="L42" s="1016"/>
      <c r="M42" s="673">
        <f aca="true" t="shared" si="2" ref="M42:M47">J42*K42</f>
        <v>21462</v>
      </c>
      <c r="N42" s="39"/>
      <c r="O42" s="141"/>
      <c r="P42" s="39"/>
      <c r="Q42" s="39"/>
      <c r="R42" s="39"/>
      <c r="S42" s="39"/>
      <c r="T42" s="39"/>
    </row>
    <row r="43" spans="1:20" s="23" customFormat="1" ht="12" customHeight="1">
      <c r="A43" s="984"/>
      <c r="B43" s="1026"/>
      <c r="C43" s="370" t="s">
        <v>180</v>
      </c>
      <c r="D43" s="1049" t="s">
        <v>975</v>
      </c>
      <c r="E43" s="1050"/>
      <c r="F43" s="1050"/>
      <c r="G43" s="1050"/>
      <c r="H43" s="1051"/>
      <c r="I43" s="699" t="s">
        <v>887</v>
      </c>
      <c r="J43" s="699">
        <v>2842</v>
      </c>
      <c r="K43" s="1016">
        <v>3</v>
      </c>
      <c r="L43" s="1016"/>
      <c r="M43" s="672">
        <f t="shared" si="2"/>
        <v>8526</v>
      </c>
      <c r="N43" s="39"/>
      <c r="O43" s="141"/>
      <c r="P43" s="39"/>
      <c r="Q43" s="39"/>
      <c r="R43" s="39"/>
      <c r="S43" s="39"/>
      <c r="T43" s="39"/>
    </row>
    <row r="44" spans="1:20" s="23" customFormat="1" ht="12" customHeight="1">
      <c r="A44" s="984"/>
      <c r="B44" s="1026"/>
      <c r="C44" s="370" t="s">
        <v>973</v>
      </c>
      <c r="D44" s="1049" t="s">
        <v>532</v>
      </c>
      <c r="E44" s="1050"/>
      <c r="F44" s="1050"/>
      <c r="G44" s="1050"/>
      <c r="H44" s="1051"/>
      <c r="I44" s="699" t="s">
        <v>887</v>
      </c>
      <c r="J44" s="699">
        <v>10000</v>
      </c>
      <c r="K44" s="1016">
        <v>1</v>
      </c>
      <c r="L44" s="1016"/>
      <c r="M44" s="672">
        <f t="shared" si="2"/>
        <v>10000</v>
      </c>
      <c r="N44" s="39"/>
      <c r="O44" s="141"/>
      <c r="P44" s="39"/>
      <c r="Q44" s="39"/>
      <c r="R44" s="39"/>
      <c r="S44" s="39"/>
      <c r="T44" s="39"/>
    </row>
    <row r="45" spans="1:20" s="23" customFormat="1" ht="12" customHeight="1">
      <c r="A45" s="984"/>
      <c r="B45" s="1026"/>
      <c r="C45" s="370" t="s">
        <v>529</v>
      </c>
      <c r="D45" s="1049" t="s">
        <v>57</v>
      </c>
      <c r="E45" s="1050"/>
      <c r="F45" s="1050"/>
      <c r="G45" s="1050"/>
      <c r="H45" s="1051"/>
      <c r="I45" s="699" t="s">
        <v>887</v>
      </c>
      <c r="J45" s="699">
        <v>588</v>
      </c>
      <c r="K45" s="1016">
        <v>1</v>
      </c>
      <c r="L45" s="1016"/>
      <c r="M45" s="672">
        <f t="shared" si="2"/>
        <v>588</v>
      </c>
      <c r="N45" s="39"/>
      <c r="O45" s="141"/>
      <c r="P45" s="39"/>
      <c r="Q45" s="39"/>
      <c r="R45" s="39"/>
      <c r="S45" s="39"/>
      <c r="T45" s="39"/>
    </row>
    <row r="46" spans="1:20" s="23" customFormat="1" ht="12" customHeight="1">
      <c r="A46" s="984"/>
      <c r="B46" s="1026"/>
      <c r="C46" s="370" t="s">
        <v>530</v>
      </c>
      <c r="D46" s="1049"/>
      <c r="E46" s="1050"/>
      <c r="F46" s="1050"/>
      <c r="G46" s="1050"/>
      <c r="H46" s="1051"/>
      <c r="I46" s="699" t="s">
        <v>887</v>
      </c>
      <c r="J46" s="699">
        <v>2000</v>
      </c>
      <c r="K46" s="1016">
        <v>0</v>
      </c>
      <c r="L46" s="1016"/>
      <c r="M46" s="672">
        <f t="shared" si="2"/>
        <v>0</v>
      </c>
      <c r="N46" s="39"/>
      <c r="O46" s="141"/>
      <c r="P46" s="39"/>
      <c r="Q46" s="39"/>
      <c r="R46" s="39"/>
      <c r="S46" s="39"/>
      <c r="T46" s="39"/>
    </row>
    <row r="47" spans="1:20" s="23" customFormat="1" ht="12" customHeight="1">
      <c r="A47" s="984"/>
      <c r="B47" s="1026"/>
      <c r="C47" s="370" t="s">
        <v>531</v>
      </c>
      <c r="D47" s="1049"/>
      <c r="E47" s="1050"/>
      <c r="F47" s="1050"/>
      <c r="G47" s="1050"/>
      <c r="H47" s="1051"/>
      <c r="I47" s="699" t="s">
        <v>887</v>
      </c>
      <c r="J47" s="699">
        <v>2000</v>
      </c>
      <c r="K47" s="1016">
        <v>0</v>
      </c>
      <c r="L47" s="1016"/>
      <c r="M47" s="672">
        <f t="shared" si="2"/>
        <v>0</v>
      </c>
      <c r="N47" s="39"/>
      <c r="O47" s="141"/>
      <c r="P47" s="39"/>
      <c r="Q47" s="39"/>
      <c r="R47" s="39"/>
      <c r="S47" s="39"/>
      <c r="T47" s="39"/>
    </row>
    <row r="48" spans="2:15" s="51" customFormat="1" ht="13.5" customHeight="1">
      <c r="B48" s="224"/>
      <c r="C48" s="224"/>
      <c r="D48" s="224"/>
      <c r="E48" s="224"/>
      <c r="F48" s="224"/>
      <c r="G48" s="224"/>
      <c r="H48" s="224"/>
      <c r="I48" s="1017" t="s">
        <v>74</v>
      </c>
      <c r="J48" s="1017"/>
      <c r="K48" s="1017"/>
      <c r="L48" s="1018"/>
      <c r="M48" s="671">
        <f>SUM(M15:M47)</f>
        <v>40576</v>
      </c>
      <c r="O48" s="141"/>
    </row>
    <row r="49" spans="1:15" s="51" customFormat="1" ht="13.5" customHeight="1">
      <c r="A49" s="1041" t="s">
        <v>210</v>
      </c>
      <c r="B49" s="1041"/>
      <c r="C49" s="1041"/>
      <c r="D49" s="1041"/>
      <c r="E49" s="1041"/>
      <c r="F49" s="1041"/>
      <c r="G49" s="1041"/>
      <c r="H49" s="224"/>
      <c r="I49" s="53"/>
      <c r="J49" s="1017" t="s">
        <v>75</v>
      </c>
      <c r="K49" s="1017"/>
      <c r="L49" s="1017"/>
      <c r="M49" s="671">
        <f>M48*0.18</f>
        <v>7303.679999999999</v>
      </c>
      <c r="O49" s="141"/>
    </row>
    <row r="50" spans="1:15" s="51" customFormat="1" ht="13.5" customHeight="1">
      <c r="A50" s="1041"/>
      <c r="B50" s="1041"/>
      <c r="C50" s="1041"/>
      <c r="D50" s="1041"/>
      <c r="E50" s="1041"/>
      <c r="F50" s="1041"/>
      <c r="G50" s="1041"/>
      <c r="H50" s="1017" t="s">
        <v>76</v>
      </c>
      <c r="I50" s="1017"/>
      <c r="J50" s="1017"/>
      <c r="K50" s="1017"/>
      <c r="L50" s="1017"/>
      <c r="M50" s="671">
        <f>M48+M49</f>
        <v>47879.68</v>
      </c>
      <c r="O50" s="141"/>
    </row>
    <row r="51" spans="7:15" s="51" customFormat="1" ht="3.75" customHeight="1">
      <c r="G51" s="52"/>
      <c r="H51" s="52"/>
      <c r="I51" s="53"/>
      <c r="J51" s="53"/>
      <c r="K51" s="53"/>
      <c r="L51" s="53"/>
      <c r="M51" s="53"/>
      <c r="O51" s="639"/>
    </row>
    <row r="52" spans="1:13" ht="0.75" customHeight="1">
      <c r="A52" s="49"/>
      <c r="B52" s="49"/>
      <c r="C52" s="49"/>
      <c r="D52" s="49"/>
      <c r="E52" s="49"/>
      <c r="F52" s="49"/>
      <c r="G52" s="40"/>
      <c r="H52" s="39"/>
      <c r="I52" s="39"/>
      <c r="J52" s="39"/>
      <c r="K52" s="39"/>
      <c r="L52" s="39"/>
      <c r="M52" s="39"/>
    </row>
    <row r="53" spans="2:13" s="51" customFormat="1" ht="13.5" customHeight="1" hidden="1">
      <c r="B53" s="224"/>
      <c r="C53" s="224"/>
      <c r="D53" s="224"/>
      <c r="E53" s="224"/>
      <c r="F53" s="224"/>
      <c r="G53" s="224"/>
      <c r="H53" s="224"/>
      <c r="I53" s="1017" t="s">
        <v>645</v>
      </c>
      <c r="J53" s="1017"/>
      <c r="K53" s="1017"/>
      <c r="L53" s="1018"/>
      <c r="M53" s="218">
        <f>M48*'содержание '!D106</f>
        <v>1825920</v>
      </c>
    </row>
    <row r="54" spans="1:13" s="51" customFormat="1" ht="13.5" customHeight="1" hidden="1">
      <c r="A54" s="1041"/>
      <c r="B54" s="1041"/>
      <c r="C54" s="1041"/>
      <c r="D54" s="1041"/>
      <c r="E54" s="1041"/>
      <c r="F54" s="1041"/>
      <c r="G54" s="1041"/>
      <c r="H54" s="224"/>
      <c r="I54" s="53"/>
      <c r="J54" s="1017" t="s">
        <v>646</v>
      </c>
      <c r="K54" s="1017"/>
      <c r="L54" s="1017"/>
      <c r="M54" s="218">
        <f>M53*0.18</f>
        <v>328665.6</v>
      </c>
    </row>
    <row r="55" spans="1:13" s="51" customFormat="1" ht="13.5" customHeight="1" hidden="1">
      <c r="A55" s="1041"/>
      <c r="B55" s="1041"/>
      <c r="C55" s="1041"/>
      <c r="D55" s="1041"/>
      <c r="E55" s="1041"/>
      <c r="F55" s="1041"/>
      <c r="G55" s="1041"/>
      <c r="H55" s="1017" t="s">
        <v>647</v>
      </c>
      <c r="I55" s="1017"/>
      <c r="J55" s="1017"/>
      <c r="K55" s="1017"/>
      <c r="L55" s="1017"/>
      <c r="M55" s="368">
        <f>M53+M54</f>
        <v>2154585.6</v>
      </c>
    </row>
    <row r="56" spans="1:14" ht="12" customHeight="1">
      <c r="A56" s="277" t="s">
        <v>564</v>
      </c>
      <c r="B56" s="1014" t="str">
        <f>CONCATENATE('Заявка стр. 1'!B4)</f>
        <v>АО "Научно-производственный центр "Вигстар"</v>
      </c>
      <c r="C56" s="1014"/>
      <c r="D56" s="1014"/>
      <c r="E56" s="1014"/>
      <c r="F56" s="1014"/>
      <c r="G56" s="1014"/>
      <c r="H56" s="1014"/>
      <c r="I56" s="1014"/>
      <c r="J56" s="1014"/>
      <c r="K56" s="1014"/>
      <c r="L56" s="1014"/>
      <c r="M56" s="1014"/>
      <c r="N56" s="380"/>
    </row>
    <row r="57" spans="1:20" s="144" customFormat="1" ht="12.75">
      <c r="A57" s="803" t="str">
        <f>CONCATENATE('Заявка стр. 1'!B17)</f>
        <v>Заместитель генерального директора по экономике и финансам</v>
      </c>
      <c r="B57" s="803"/>
      <c r="C57" s="803"/>
      <c r="D57" s="803"/>
      <c r="E57" s="803"/>
      <c r="F57" s="803"/>
      <c r="G57" s="803"/>
      <c r="N57" s="143"/>
      <c r="O57" s="143"/>
      <c r="P57" s="143"/>
      <c r="Q57" s="143"/>
      <c r="R57" s="143"/>
      <c r="S57" s="143"/>
      <c r="T57" s="143"/>
    </row>
    <row r="58" spans="1:20" s="144" customFormat="1" ht="12.75">
      <c r="A58" s="706" t="str">
        <f>CONCATENATE('Заявка стр. 1'!A19)</f>
        <v>Короткевич Олег Иосифович</v>
      </c>
      <c r="B58" s="706"/>
      <c r="C58" s="706"/>
      <c r="D58" s="707"/>
      <c r="E58" s="707"/>
      <c r="F58" s="707"/>
      <c r="G58" s="707"/>
      <c r="J58" s="820" t="s">
        <v>260</v>
      </c>
      <c r="K58" s="820"/>
      <c r="L58" s="820"/>
      <c r="M58" s="820"/>
      <c r="N58" s="143"/>
      <c r="R58" s="143"/>
      <c r="S58" s="143"/>
      <c r="T58" s="143"/>
    </row>
    <row r="59" spans="1:20" s="144" customFormat="1" ht="12.75">
      <c r="A59" s="43"/>
      <c r="B59" s="43"/>
      <c r="C59" s="313"/>
      <c r="D59" s="290"/>
      <c r="E59" s="290"/>
      <c r="F59" s="290" t="s">
        <v>991</v>
      </c>
      <c r="G59" s="290"/>
      <c r="H59" s="314"/>
      <c r="I59" s="314"/>
      <c r="N59" s="143"/>
      <c r="O59" s="143"/>
      <c r="P59" s="143"/>
      <c r="Q59" s="143"/>
      <c r="R59" s="143"/>
      <c r="S59" s="143"/>
      <c r="T59" s="143"/>
    </row>
    <row r="60" spans="1:13" ht="12.75" customHeight="1">
      <c r="A60" s="49"/>
      <c r="B60" s="49"/>
      <c r="C60" s="49"/>
      <c r="D60" s="49"/>
      <c r="E60" s="49"/>
      <c r="F60" s="49"/>
      <c r="G60" s="40"/>
      <c r="H60" s="40"/>
      <c r="I60" s="40"/>
      <c r="J60" s="40"/>
      <c r="K60" s="40"/>
      <c r="L60" s="40"/>
      <c r="M60" s="40"/>
    </row>
    <row r="61" spans="1:13" ht="12.75">
      <c r="A61" s="49"/>
      <c r="B61" s="49"/>
      <c r="C61" s="49"/>
      <c r="D61" s="49"/>
      <c r="E61" s="49"/>
      <c r="F61" s="49"/>
      <c r="G61" s="40"/>
      <c r="H61" s="54"/>
      <c r="I61" s="319"/>
      <c r="J61" s="319"/>
      <c r="K61" s="283"/>
      <c r="L61" s="116"/>
      <c r="M61" s="116"/>
    </row>
    <row r="62" spans="1:13" ht="13.5" customHeight="1">
      <c r="A62" s="49"/>
      <c r="B62" s="49"/>
      <c r="C62" s="49"/>
      <c r="D62" s="49"/>
      <c r="E62" s="49"/>
      <c r="F62" s="49"/>
      <c r="G62" s="49"/>
      <c r="H62" s="48"/>
      <c r="I62" s="40"/>
      <c r="J62" s="40"/>
      <c r="K62" s="40"/>
      <c r="L62" s="39"/>
      <c r="M62" s="39"/>
    </row>
    <row r="63" spans="1:13" ht="12.75" customHeight="1">
      <c r="A63" s="4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</sheetData>
  <sheetProtection password="CC03" sheet="1" selectLockedCells="1"/>
  <mergeCells count="103">
    <mergeCell ref="K43:L43"/>
    <mergeCell ref="D47:H47"/>
    <mergeCell ref="K47:L47"/>
    <mergeCell ref="K45:L45"/>
    <mergeCell ref="J49:L49"/>
    <mergeCell ref="D39:H39"/>
    <mergeCell ref="K39:L39"/>
    <mergeCell ref="A40:B41"/>
    <mergeCell ref="D40:H40"/>
    <mergeCell ref="D46:H46"/>
    <mergeCell ref="K46:L46"/>
    <mergeCell ref="D44:H44"/>
    <mergeCell ref="K44:L44"/>
    <mergeCell ref="D45:H45"/>
    <mergeCell ref="D43:H43"/>
    <mergeCell ref="K38:L38"/>
    <mergeCell ref="D37:H37"/>
    <mergeCell ref="A49:G50"/>
    <mergeCell ref="A42:B47"/>
    <mergeCell ref="D42:H42"/>
    <mergeCell ref="K42:L42"/>
    <mergeCell ref="H50:L50"/>
    <mergeCell ref="I48:L48"/>
    <mergeCell ref="K41:L41"/>
    <mergeCell ref="A39:B39"/>
    <mergeCell ref="D34:H34"/>
    <mergeCell ref="K34:L34"/>
    <mergeCell ref="K40:L40"/>
    <mergeCell ref="D41:H41"/>
    <mergeCell ref="D35:H35"/>
    <mergeCell ref="K35:L35"/>
    <mergeCell ref="D36:H36"/>
    <mergeCell ref="K36:L36"/>
    <mergeCell ref="K37:L37"/>
    <mergeCell ref="D38:H38"/>
    <mergeCell ref="K29:L29"/>
    <mergeCell ref="D28:H28"/>
    <mergeCell ref="K28:L28"/>
    <mergeCell ref="D33:H33"/>
    <mergeCell ref="K33:L33"/>
    <mergeCell ref="D30:H30"/>
    <mergeCell ref="K30:L30"/>
    <mergeCell ref="D32:M32"/>
    <mergeCell ref="D23:H23"/>
    <mergeCell ref="K23:L23"/>
    <mergeCell ref="D24:H24"/>
    <mergeCell ref="K24:L24"/>
    <mergeCell ref="A31:B32"/>
    <mergeCell ref="D31:H31"/>
    <mergeCell ref="K31:L31"/>
    <mergeCell ref="D27:H27"/>
    <mergeCell ref="K27:L27"/>
    <mergeCell ref="D29:H29"/>
    <mergeCell ref="D17:H17"/>
    <mergeCell ref="K17:L17"/>
    <mergeCell ref="D19:H19"/>
    <mergeCell ref="K19:L19"/>
    <mergeCell ref="D22:H22"/>
    <mergeCell ref="K22:L22"/>
    <mergeCell ref="D20:H20"/>
    <mergeCell ref="K20:L20"/>
    <mergeCell ref="D21:H21"/>
    <mergeCell ref="K21:L21"/>
    <mergeCell ref="G9:J9"/>
    <mergeCell ref="G11:J11"/>
    <mergeCell ref="A57:G57"/>
    <mergeCell ref="A58:G58"/>
    <mergeCell ref="J58:M58"/>
    <mergeCell ref="A54:G55"/>
    <mergeCell ref="J54:L54"/>
    <mergeCell ref="H55:L55"/>
    <mergeCell ref="B56:M56"/>
    <mergeCell ref="K18:L18"/>
    <mergeCell ref="H1:H3"/>
    <mergeCell ref="I1:M1"/>
    <mergeCell ref="D2:G2"/>
    <mergeCell ref="A1:D1"/>
    <mergeCell ref="D15:H15"/>
    <mergeCell ref="K15:L15"/>
    <mergeCell ref="I13:J13"/>
    <mergeCell ref="I3:J3"/>
    <mergeCell ref="L3:M3"/>
    <mergeCell ref="E3:G3"/>
    <mergeCell ref="A27:B28"/>
    <mergeCell ref="D16:H16"/>
    <mergeCell ref="K16:L16"/>
    <mergeCell ref="D18:H18"/>
    <mergeCell ref="A2:C2"/>
    <mergeCell ref="B5:E5"/>
    <mergeCell ref="G5:J7"/>
    <mergeCell ref="A7:E7"/>
    <mergeCell ref="I2:M2"/>
    <mergeCell ref="A3:C3"/>
    <mergeCell ref="D25:H25"/>
    <mergeCell ref="D26:H26"/>
    <mergeCell ref="K25:L25"/>
    <mergeCell ref="K26:L26"/>
    <mergeCell ref="I53:L53"/>
    <mergeCell ref="B9:E9"/>
    <mergeCell ref="B11:E11"/>
    <mergeCell ref="D14:H14"/>
    <mergeCell ref="K14:L14"/>
    <mergeCell ref="A34:B35"/>
  </mergeCells>
  <conditionalFormatting sqref="M5 M7 M9 M11">
    <cfRule type="cellIs" priority="1" dxfId="65" operator="equal" stopIfTrue="1">
      <formula>0</formula>
    </cfRule>
  </conditionalFormatting>
  <hyperlinks>
    <hyperlink ref="B11" r:id="rId1" display="montage@b95.ru"/>
  </hyperlinks>
  <printOptions horizontalCentered="1"/>
  <pageMargins left="0.7874015748031497" right="0.3937007874015748" top="0.5905511811023623" bottom="0.5905511811023623" header="0.31496062992125984" footer="0.5118110236220472"/>
  <pageSetup horizontalDpi="600" verticalDpi="600" orientation="portrait" paperSize="9" r:id="rId2"/>
  <headerFooter alignWithMargins="0">
    <oddHeader>&amp;RСтраница  &amp;P из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C74"/>
  <sheetViews>
    <sheetView zoomScale="115" zoomScaleNormal="115" zoomScalePageLayoutView="0" workbookViewId="0" topLeftCell="A1">
      <selection activeCell="A16" sqref="A16"/>
    </sheetView>
  </sheetViews>
  <sheetFormatPr defaultColWidth="9.00390625" defaultRowHeight="12.75"/>
  <cols>
    <col min="1" max="1" width="10.25390625" style="0" customWidth="1"/>
    <col min="2" max="2" width="5.00390625" style="0" customWidth="1"/>
    <col min="3" max="3" width="1.12109375" style="0" customWidth="1"/>
    <col min="4" max="4" width="6.625" style="0" customWidth="1"/>
    <col min="5" max="5" width="7.875" style="0" customWidth="1"/>
    <col min="6" max="6" width="0.2421875" style="0" customWidth="1"/>
    <col min="7" max="18" width="4.75390625" style="0" customWidth="1"/>
    <col min="19" max="19" width="4.375" style="0" customWidth="1"/>
    <col min="20" max="20" width="4.75390625" style="0" customWidth="1"/>
    <col min="21" max="21" width="9.125" style="49" customWidth="1"/>
    <col min="22" max="22" width="11.625" style="49" bestFit="1" customWidth="1"/>
    <col min="23" max="27" width="9.125" style="49" customWidth="1"/>
  </cols>
  <sheetData>
    <row r="1" spans="1:20" ht="25.5" customHeight="1">
      <c r="A1" s="1034" t="s">
        <v>51</v>
      </c>
      <c r="B1" s="1034"/>
      <c r="C1" s="379"/>
      <c r="D1" s="1004" t="s">
        <v>924</v>
      </c>
      <c r="E1" s="1004"/>
      <c r="F1" s="1004"/>
      <c r="G1" s="1004"/>
      <c r="H1" s="115"/>
      <c r="I1" s="1031" t="s">
        <v>242</v>
      </c>
      <c r="J1" s="1031"/>
      <c r="K1" s="1031"/>
      <c r="L1" s="94"/>
      <c r="M1" s="323"/>
      <c r="N1" s="1009" t="s">
        <v>50</v>
      </c>
      <c r="O1" s="1009"/>
      <c r="P1" s="1009"/>
      <c r="Q1" s="1009"/>
      <c r="R1" s="1009"/>
      <c r="S1" s="1009"/>
      <c r="T1" s="276"/>
    </row>
    <row r="2" spans="1:23" ht="15.75" customHeight="1">
      <c r="A2" s="49"/>
      <c r="B2" s="49"/>
      <c r="C2" s="21"/>
      <c r="D2" s="1004" t="str">
        <f>'содержание '!C79</f>
        <v>ArmHiTec-2016</v>
      </c>
      <c r="E2" s="1004"/>
      <c r="F2" s="1004"/>
      <c r="G2" s="1004"/>
      <c r="H2" s="1004"/>
      <c r="I2" s="1031"/>
      <c r="J2" s="1031"/>
      <c r="K2" s="1031"/>
      <c r="L2" s="94"/>
      <c r="M2" s="323"/>
      <c r="N2" s="1028"/>
      <c r="O2" s="1028"/>
      <c r="P2" s="1028"/>
      <c r="Q2" s="1028"/>
      <c r="R2" s="1028"/>
      <c r="S2" s="1028"/>
      <c r="T2" s="280"/>
      <c r="W2" s="39"/>
    </row>
    <row r="3" spans="1:19" ht="15" customHeight="1">
      <c r="A3" s="417" t="s">
        <v>697</v>
      </c>
      <c r="B3" s="207" t="str">
        <f>CONCATENATE('содержание '!C104)</f>
        <v>/AHT</v>
      </c>
      <c r="C3" s="325"/>
      <c r="D3" s="1052" t="s">
        <v>257</v>
      </c>
      <c r="E3" s="1052"/>
      <c r="F3" s="1052"/>
      <c r="G3" s="1052"/>
      <c r="H3" s="326"/>
      <c r="I3" s="1032"/>
      <c r="J3" s="1032"/>
      <c r="K3" s="1032"/>
      <c r="L3" s="215"/>
      <c r="M3" s="1036" t="s">
        <v>985</v>
      </c>
      <c r="N3" s="1036"/>
      <c r="O3" s="1036"/>
      <c r="P3" s="1037" t="str">
        <f>'содержание '!C95</f>
        <v>14 сентября 2016 г.</v>
      </c>
      <c r="Q3" s="1037"/>
      <c r="R3" s="1037"/>
      <c r="S3" s="1037"/>
    </row>
    <row r="4" spans="1:23" ht="3.75" customHeight="1">
      <c r="A4" s="31"/>
      <c r="B4" s="31"/>
      <c r="C4" s="31"/>
      <c r="D4" s="31"/>
      <c r="E4" s="34"/>
      <c r="F4" s="34"/>
      <c r="G4" s="34"/>
      <c r="H4" s="34"/>
      <c r="I4" s="34"/>
      <c r="J4" s="152"/>
      <c r="K4" s="152"/>
      <c r="L4" s="152"/>
      <c r="M4" s="152"/>
      <c r="N4" s="35"/>
      <c r="O4" s="35"/>
      <c r="P4" s="35"/>
      <c r="Q4" s="52"/>
      <c r="R4" s="52"/>
      <c r="S4" s="52"/>
      <c r="T4" s="52"/>
      <c r="W4" s="39"/>
    </row>
    <row r="5" spans="1:23" ht="13.5" customHeight="1">
      <c r="A5" s="315" t="s">
        <v>121</v>
      </c>
      <c r="B5" s="721" t="s">
        <v>981</v>
      </c>
      <c r="C5" s="721"/>
      <c r="D5" s="721"/>
      <c r="E5" s="721"/>
      <c r="F5" s="191"/>
      <c r="G5" s="155" t="s">
        <v>564</v>
      </c>
      <c r="I5" s="49"/>
      <c r="J5" s="728" t="str">
        <f>CONCATENATE('Заявка стр. 1'!B4)</f>
        <v>АО "Научно-производственный центр "Вигстар"</v>
      </c>
      <c r="K5" s="728"/>
      <c r="L5" s="728"/>
      <c r="M5" s="728"/>
      <c r="N5" s="728"/>
      <c r="O5" s="728"/>
      <c r="P5" s="1054" t="s">
        <v>272</v>
      </c>
      <c r="Q5" s="1054"/>
      <c r="R5" s="718">
        <f>'Заявка стр. 2'!L8</f>
        <v>0</v>
      </c>
      <c r="S5" s="719"/>
      <c r="T5" s="154"/>
      <c r="W5" s="39"/>
    </row>
    <row r="6" spans="1:23" ht="2.25" customHeight="1">
      <c r="A6" s="193"/>
      <c r="B6" s="193"/>
      <c r="C6" s="194"/>
      <c r="D6" s="165"/>
      <c r="E6" s="165"/>
      <c r="F6" s="165"/>
      <c r="G6" s="165"/>
      <c r="H6" s="165"/>
      <c r="I6" s="155"/>
      <c r="J6" s="728"/>
      <c r="K6" s="728"/>
      <c r="L6" s="728"/>
      <c r="M6" s="728"/>
      <c r="N6" s="728"/>
      <c r="O6" s="728"/>
      <c r="P6" s="69"/>
      <c r="Q6" s="153"/>
      <c r="R6" s="153"/>
      <c r="S6" s="154"/>
      <c r="T6" s="154"/>
      <c r="W6" s="39"/>
    </row>
    <row r="7" spans="1:23" ht="13.5" customHeight="1">
      <c r="A7" s="721" t="s">
        <v>980</v>
      </c>
      <c r="B7" s="721"/>
      <c r="C7" s="721"/>
      <c r="D7" s="721"/>
      <c r="E7" s="721"/>
      <c r="F7" s="191"/>
      <c r="G7" s="191"/>
      <c r="H7" s="191"/>
      <c r="I7" s="174"/>
      <c r="J7" s="818"/>
      <c r="K7" s="818"/>
      <c r="L7" s="818"/>
      <c r="M7" s="818"/>
      <c r="N7" s="818"/>
      <c r="O7" s="818"/>
      <c r="P7" s="1055" t="s">
        <v>713</v>
      </c>
      <c r="Q7" s="1055"/>
      <c r="R7" s="718">
        <f>'Заявка стр. 2'!L10</f>
        <v>0</v>
      </c>
      <c r="S7" s="719"/>
      <c r="T7" s="154"/>
      <c r="W7" s="39"/>
    </row>
    <row r="8" spans="1:23" ht="2.25" customHeight="1">
      <c r="A8" s="166"/>
      <c r="B8" s="166"/>
      <c r="C8" s="164"/>
      <c r="D8" s="167"/>
      <c r="E8" s="167"/>
      <c r="F8" s="167"/>
      <c r="G8" s="167"/>
      <c r="H8" s="167"/>
      <c r="I8" s="157"/>
      <c r="J8" s="49"/>
      <c r="K8" s="49"/>
      <c r="L8" s="159"/>
      <c r="M8" s="159"/>
      <c r="N8" s="163"/>
      <c r="O8" s="161"/>
      <c r="P8" s="324"/>
      <c r="Q8" s="153"/>
      <c r="R8" s="154"/>
      <c r="S8" s="154"/>
      <c r="T8" s="154"/>
      <c r="W8" s="39"/>
    </row>
    <row r="9" spans="1:23" ht="13.5" customHeight="1">
      <c r="A9" s="170" t="s">
        <v>982</v>
      </c>
      <c r="B9" s="724" t="s">
        <v>1050</v>
      </c>
      <c r="C9" s="724"/>
      <c r="D9" s="724"/>
      <c r="E9" s="724"/>
      <c r="F9" s="192"/>
      <c r="G9" s="155" t="s">
        <v>977</v>
      </c>
      <c r="I9" s="49"/>
      <c r="J9" s="1056" t="str">
        <f>CONCATENATE('Заявка стр. 1'!A25)</f>
        <v>Симонова Наталья Владимировна</v>
      </c>
      <c r="K9" s="1056"/>
      <c r="L9" s="1056"/>
      <c r="M9" s="1056"/>
      <c r="N9" s="1056"/>
      <c r="O9" s="1056"/>
      <c r="P9" s="1055" t="s">
        <v>979</v>
      </c>
      <c r="Q9" s="1055"/>
      <c r="R9" s="718">
        <f>'Заявка стр. 2'!L12</f>
        <v>0</v>
      </c>
      <c r="S9" s="719"/>
      <c r="T9" s="154"/>
      <c r="W9" s="39"/>
    </row>
    <row r="10" spans="1:23" ht="2.25" customHeight="1">
      <c r="A10" s="166"/>
      <c r="B10" s="166"/>
      <c r="C10" s="164"/>
      <c r="D10" s="167"/>
      <c r="E10" s="167"/>
      <c r="F10" s="167"/>
      <c r="G10" s="167"/>
      <c r="H10" s="167"/>
      <c r="I10" s="157"/>
      <c r="J10" s="49"/>
      <c r="K10" s="49"/>
      <c r="L10" s="159"/>
      <c r="M10" s="159"/>
      <c r="N10" s="163"/>
      <c r="O10" s="161"/>
      <c r="P10" s="324"/>
      <c r="Q10" s="153"/>
      <c r="R10" s="154"/>
      <c r="S10" s="154"/>
      <c r="T10" s="154"/>
      <c r="W10" s="39"/>
    </row>
    <row r="11" spans="1:23" ht="13.5" customHeight="1">
      <c r="A11" s="170" t="s">
        <v>595</v>
      </c>
      <c r="B11" s="1020" t="s">
        <v>570</v>
      </c>
      <c r="C11" s="1021"/>
      <c r="D11" s="1021"/>
      <c r="E11" s="1021"/>
      <c r="F11" s="284"/>
      <c r="G11" s="155" t="s">
        <v>978</v>
      </c>
      <c r="I11" s="49"/>
      <c r="J11" s="1057" t="str">
        <f>CONCATENATE('Заявка стр. 1'!B27)</f>
        <v>(495) 276-52-71</v>
      </c>
      <c r="K11" s="1057"/>
      <c r="L11" s="1057"/>
      <c r="M11" s="1057"/>
      <c r="N11" s="1057"/>
      <c r="O11" s="1057"/>
      <c r="P11" s="1055"/>
      <c r="Q11" s="1055"/>
      <c r="R11" s="1053"/>
      <c r="S11" s="1053"/>
      <c r="T11" s="154"/>
      <c r="W11" s="39"/>
    </row>
    <row r="12" spans="1:23" ht="3.75" customHeight="1">
      <c r="A12" s="203"/>
      <c r="B12" s="203"/>
      <c r="C12" s="204"/>
      <c r="D12" s="204"/>
      <c r="E12" s="204"/>
      <c r="F12" s="204"/>
      <c r="G12" s="204"/>
      <c r="H12" s="204"/>
      <c r="I12" s="221"/>
      <c r="J12" s="215"/>
      <c r="K12" s="215"/>
      <c r="L12" s="221"/>
      <c r="M12" s="221"/>
      <c r="N12" s="222"/>
      <c r="O12" s="222"/>
      <c r="P12" s="222"/>
      <c r="Q12" s="209"/>
      <c r="R12" s="209"/>
      <c r="S12" s="223"/>
      <c r="T12" s="154"/>
      <c r="W12" s="39"/>
    </row>
    <row r="13" spans="1:23" ht="16.5" customHeight="1">
      <c r="A13" s="331"/>
      <c r="B13" s="331"/>
      <c r="C13" s="332"/>
      <c r="D13" s="332"/>
      <c r="E13" s="332"/>
      <c r="F13" s="332"/>
      <c r="G13" s="332"/>
      <c r="H13" s="332"/>
      <c r="I13" s="287"/>
      <c r="J13" s="333"/>
      <c r="K13" s="333"/>
      <c r="L13" s="287"/>
      <c r="M13" s="287"/>
      <c r="N13" s="334"/>
      <c r="O13" s="334"/>
      <c r="P13" s="334"/>
      <c r="Q13" s="335"/>
      <c r="R13" s="335"/>
      <c r="S13" s="336"/>
      <c r="T13" s="154"/>
      <c r="W13" s="39"/>
    </row>
    <row r="14" spans="1:29" s="297" customFormat="1" ht="41.25" customHeight="1">
      <c r="A14" s="804" t="s">
        <v>54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04"/>
      <c r="R14" s="804"/>
      <c r="S14" s="804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</row>
    <row r="15" spans="1:29" s="297" customFormat="1" ht="27" customHeight="1">
      <c r="A15" s="327"/>
      <c r="B15" s="327"/>
      <c r="C15" s="327"/>
      <c r="D15" s="327"/>
      <c r="E15" s="327"/>
      <c r="F15" s="327"/>
      <c r="G15" s="327">
        <v>0</v>
      </c>
      <c r="H15" s="327" t="s">
        <v>53</v>
      </c>
      <c r="I15" s="327" t="s">
        <v>52</v>
      </c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</row>
    <row r="16" spans="1:29" ht="3" customHeight="1">
      <c r="A16" s="166"/>
      <c r="B16" s="166"/>
      <c r="C16" s="284"/>
      <c r="D16" s="284"/>
      <c r="E16" s="284"/>
      <c r="F16" s="284"/>
      <c r="G16" s="328"/>
      <c r="H16" s="328"/>
      <c r="I16" s="159"/>
      <c r="J16" s="94"/>
      <c r="K16" s="94"/>
      <c r="L16" s="159"/>
      <c r="M16" s="159"/>
      <c r="N16" s="175"/>
      <c r="O16" s="175"/>
      <c r="P16" s="175"/>
      <c r="Q16" s="153"/>
      <c r="R16" s="153"/>
      <c r="S16" s="154"/>
      <c r="T16" s="154"/>
      <c r="W16" s="39"/>
      <c r="AB16" s="49"/>
      <c r="AC16" s="49"/>
    </row>
    <row r="17" spans="1:29" ht="3.75" customHeight="1">
      <c r="A17" s="166"/>
      <c r="B17" s="166"/>
      <c r="C17" s="284"/>
      <c r="D17" s="284"/>
      <c r="E17" s="284"/>
      <c r="F17" s="284"/>
      <c r="G17" s="329"/>
      <c r="H17" s="330"/>
      <c r="I17" s="159"/>
      <c r="J17" s="94"/>
      <c r="K17" s="94"/>
      <c r="L17" s="159"/>
      <c r="M17" s="159"/>
      <c r="N17" s="175"/>
      <c r="O17" s="175"/>
      <c r="P17" s="175"/>
      <c r="Q17" s="153"/>
      <c r="R17" s="153"/>
      <c r="S17" s="154"/>
      <c r="T17" s="154"/>
      <c r="W17" s="39"/>
      <c r="AB17" s="49"/>
      <c r="AC17" s="49"/>
    </row>
    <row r="18" spans="1:29" s="23" customFormat="1" ht="7.5" customHeight="1">
      <c r="A18" s="43"/>
      <c r="B18" s="43"/>
      <c r="C18" s="50"/>
      <c r="D18" s="50"/>
      <c r="E18" s="99"/>
      <c r="F18" s="99"/>
      <c r="G18" s="99"/>
      <c r="H18" s="99"/>
      <c r="I18" s="99"/>
      <c r="J18" s="99"/>
      <c r="K18" s="99"/>
      <c r="L18" s="99"/>
      <c r="M18" s="150"/>
      <c r="N18" s="50"/>
      <c r="O18" s="50"/>
      <c r="P18" s="31"/>
      <c r="Q18" s="31"/>
      <c r="R18" s="31"/>
      <c r="S18" s="50"/>
      <c r="T18" s="50"/>
      <c r="U18" s="39"/>
      <c r="V18" s="141"/>
      <c r="W18" s="39"/>
      <c r="X18" s="39"/>
      <c r="Y18" s="39"/>
      <c r="Z18" s="39"/>
      <c r="AA18" s="39"/>
      <c r="AB18" s="39"/>
      <c r="AC18" s="39"/>
    </row>
    <row r="19" spans="1:27" s="23" customFormat="1" ht="24.75" customHeight="1">
      <c r="A19" s="337"/>
      <c r="B19" s="337"/>
      <c r="C19" s="321"/>
      <c r="D19" s="321"/>
      <c r="E19" s="31"/>
      <c r="F19" s="31"/>
      <c r="G19" s="322"/>
      <c r="H19" s="322"/>
      <c r="I19" s="322"/>
      <c r="J19" s="322"/>
      <c r="K19" s="322"/>
      <c r="L19" s="322"/>
      <c r="M19" s="338"/>
      <c r="N19" s="275"/>
      <c r="O19" s="275"/>
      <c r="P19" s="322"/>
      <c r="Q19" s="322"/>
      <c r="R19" s="322"/>
      <c r="S19" s="339"/>
      <c r="T19" s="50"/>
      <c r="U19" s="39"/>
      <c r="V19" s="141"/>
      <c r="W19" s="39"/>
      <c r="X19" s="39"/>
      <c r="Y19" s="39"/>
      <c r="Z19" s="39"/>
      <c r="AA19" s="39"/>
    </row>
    <row r="20" spans="1:27" s="23" customFormat="1" ht="24.75" customHeight="1">
      <c r="A20" s="337"/>
      <c r="B20" s="337"/>
      <c r="C20" s="321"/>
      <c r="D20" s="321"/>
      <c r="E20" s="31"/>
      <c r="F20" s="31"/>
      <c r="G20" s="322"/>
      <c r="H20" s="322"/>
      <c r="I20" s="322"/>
      <c r="J20" s="322"/>
      <c r="K20" s="322"/>
      <c r="L20" s="322"/>
      <c r="M20" s="338"/>
      <c r="N20" s="275"/>
      <c r="O20" s="275"/>
      <c r="P20" s="322"/>
      <c r="Q20" s="322"/>
      <c r="R20" s="322"/>
      <c r="S20" s="339"/>
      <c r="T20" s="50"/>
      <c r="U20" s="39"/>
      <c r="V20" s="141"/>
      <c r="W20" s="39"/>
      <c r="X20" s="39"/>
      <c r="Y20" s="39"/>
      <c r="Z20" s="39"/>
      <c r="AA20" s="39"/>
    </row>
    <row r="21" spans="1:27" s="23" customFormat="1" ht="24.75" customHeight="1">
      <c r="A21" s="337"/>
      <c r="B21" s="337"/>
      <c r="C21" s="321"/>
      <c r="D21" s="321"/>
      <c r="E21" s="31"/>
      <c r="F21" s="31"/>
      <c r="G21" s="322"/>
      <c r="H21" s="322"/>
      <c r="I21" s="322"/>
      <c r="J21" s="322"/>
      <c r="K21" s="322"/>
      <c r="L21" s="322"/>
      <c r="M21" s="338"/>
      <c r="N21" s="275"/>
      <c r="O21" s="275"/>
      <c r="P21" s="322"/>
      <c r="Q21" s="322"/>
      <c r="R21" s="322"/>
      <c r="S21" s="339"/>
      <c r="T21" s="50"/>
      <c r="U21" s="39"/>
      <c r="V21" s="141"/>
      <c r="W21" s="39"/>
      <c r="X21" s="39"/>
      <c r="Y21" s="39"/>
      <c r="Z21" s="39"/>
      <c r="AA21" s="39"/>
    </row>
    <row r="22" spans="1:27" s="23" customFormat="1" ht="24.75" customHeight="1">
      <c r="A22" s="337"/>
      <c r="B22" s="337"/>
      <c r="C22" s="321"/>
      <c r="D22" s="321"/>
      <c r="E22" s="31"/>
      <c r="F22" s="31"/>
      <c r="G22" s="322"/>
      <c r="H22" s="322"/>
      <c r="I22" s="322"/>
      <c r="J22" s="322"/>
      <c r="K22" s="322"/>
      <c r="L22" s="322"/>
      <c r="M22" s="338"/>
      <c r="N22" s="275"/>
      <c r="O22" s="275"/>
      <c r="P22" s="322"/>
      <c r="Q22" s="322"/>
      <c r="R22" s="322"/>
      <c r="S22" s="339"/>
      <c r="T22" s="50"/>
      <c r="U22" s="39"/>
      <c r="V22" s="141"/>
      <c r="W22" s="39"/>
      <c r="X22" s="39"/>
      <c r="Y22" s="39"/>
      <c r="Z22" s="39"/>
      <c r="AA22" s="39"/>
    </row>
    <row r="23" spans="1:27" s="23" customFormat="1" ht="24.75" customHeight="1">
      <c r="A23" s="337"/>
      <c r="B23" s="337"/>
      <c r="C23" s="321"/>
      <c r="D23" s="321"/>
      <c r="E23" s="31"/>
      <c r="F23" s="31"/>
      <c r="G23" s="322"/>
      <c r="H23" s="322"/>
      <c r="I23" s="322"/>
      <c r="J23" s="322"/>
      <c r="K23" s="322"/>
      <c r="L23" s="322"/>
      <c r="M23" s="338"/>
      <c r="N23" s="275"/>
      <c r="O23" s="275"/>
      <c r="P23" s="322"/>
      <c r="Q23" s="322"/>
      <c r="R23" s="322"/>
      <c r="S23" s="339"/>
      <c r="T23" s="50"/>
      <c r="U23" s="39"/>
      <c r="V23" s="141"/>
      <c r="W23" s="39"/>
      <c r="X23" s="39"/>
      <c r="Y23" s="39"/>
      <c r="Z23" s="39"/>
      <c r="AA23" s="39"/>
    </row>
    <row r="24" spans="1:27" s="23" customFormat="1" ht="24.75" customHeight="1">
      <c r="A24" s="337"/>
      <c r="B24" s="337"/>
      <c r="C24" s="321"/>
      <c r="D24" s="321"/>
      <c r="E24" s="31"/>
      <c r="F24" s="31"/>
      <c r="G24" s="322"/>
      <c r="H24" s="322"/>
      <c r="I24" s="322"/>
      <c r="J24" s="322"/>
      <c r="K24" s="322"/>
      <c r="L24" s="322"/>
      <c r="M24" s="338"/>
      <c r="N24" s="275"/>
      <c r="O24" s="275"/>
      <c r="P24" s="322"/>
      <c r="Q24" s="322"/>
      <c r="R24" s="322"/>
      <c r="S24" s="339"/>
      <c r="T24" s="50"/>
      <c r="U24" s="39"/>
      <c r="V24" s="141"/>
      <c r="W24" s="39"/>
      <c r="X24" s="39"/>
      <c r="Y24" s="39"/>
      <c r="Z24" s="39"/>
      <c r="AA24" s="39"/>
    </row>
    <row r="25" spans="1:27" s="23" customFormat="1" ht="24.75" customHeight="1">
      <c r="A25" s="337"/>
      <c r="B25" s="337"/>
      <c r="C25" s="321"/>
      <c r="D25" s="321"/>
      <c r="E25" s="31"/>
      <c r="F25" s="31"/>
      <c r="G25" s="322"/>
      <c r="H25" s="322"/>
      <c r="I25" s="322"/>
      <c r="J25" s="322"/>
      <c r="K25" s="322"/>
      <c r="L25" s="322"/>
      <c r="M25" s="338"/>
      <c r="N25" s="275"/>
      <c r="O25" s="275"/>
      <c r="P25" s="322"/>
      <c r="Q25" s="322"/>
      <c r="R25" s="322"/>
      <c r="S25" s="339"/>
      <c r="T25" s="50"/>
      <c r="U25" s="39"/>
      <c r="V25" s="141"/>
      <c r="W25" s="39"/>
      <c r="X25" s="39"/>
      <c r="Y25" s="39"/>
      <c r="Z25" s="39"/>
      <c r="AA25" s="39"/>
    </row>
    <row r="26" spans="1:27" s="23" customFormat="1" ht="24.75" customHeight="1">
      <c r="A26" s="337"/>
      <c r="B26" s="337"/>
      <c r="C26" s="321"/>
      <c r="D26" s="321"/>
      <c r="E26" s="31"/>
      <c r="F26" s="31"/>
      <c r="G26" s="322"/>
      <c r="H26" s="322"/>
      <c r="I26" s="322"/>
      <c r="J26" s="322"/>
      <c r="K26" s="322"/>
      <c r="L26" s="322"/>
      <c r="M26" s="338"/>
      <c r="N26" s="275"/>
      <c r="O26" s="275"/>
      <c r="P26" s="322"/>
      <c r="Q26" s="322"/>
      <c r="R26" s="322"/>
      <c r="S26" s="339"/>
      <c r="T26" s="50"/>
      <c r="U26" s="39"/>
      <c r="V26" s="141"/>
      <c r="W26" s="39"/>
      <c r="X26" s="39"/>
      <c r="Y26" s="39"/>
      <c r="Z26" s="39"/>
      <c r="AA26" s="39"/>
    </row>
    <row r="27" spans="1:27" s="23" customFormat="1" ht="24.75" customHeight="1">
      <c r="A27" s="337"/>
      <c r="B27" s="337"/>
      <c r="C27" s="321"/>
      <c r="D27" s="321"/>
      <c r="E27" s="31"/>
      <c r="F27" s="31"/>
      <c r="G27" s="322"/>
      <c r="H27" s="322"/>
      <c r="I27" s="322"/>
      <c r="J27" s="322"/>
      <c r="K27" s="322"/>
      <c r="L27" s="322"/>
      <c r="M27" s="338"/>
      <c r="N27" s="275"/>
      <c r="O27" s="275"/>
      <c r="P27" s="322"/>
      <c r="Q27" s="322"/>
      <c r="R27" s="322"/>
      <c r="S27" s="339"/>
      <c r="T27" s="50"/>
      <c r="U27" s="39"/>
      <c r="V27" s="141"/>
      <c r="W27" s="39"/>
      <c r="X27" s="39"/>
      <c r="Y27" s="39"/>
      <c r="Z27" s="39"/>
      <c r="AA27" s="39"/>
    </row>
    <row r="28" spans="1:27" s="23" customFormat="1" ht="24.75" customHeight="1">
      <c r="A28" s="337"/>
      <c r="B28" s="337"/>
      <c r="C28" s="321"/>
      <c r="D28" s="321"/>
      <c r="E28" s="31"/>
      <c r="F28" s="31"/>
      <c r="G28" s="322"/>
      <c r="H28" s="322"/>
      <c r="I28" s="322"/>
      <c r="J28" s="322"/>
      <c r="K28" s="322"/>
      <c r="L28" s="322"/>
      <c r="M28" s="338"/>
      <c r="N28" s="275"/>
      <c r="O28" s="275"/>
      <c r="P28" s="322"/>
      <c r="Q28" s="322"/>
      <c r="R28" s="322"/>
      <c r="S28" s="339"/>
      <c r="T28" s="50"/>
      <c r="U28" s="39"/>
      <c r="V28" s="141"/>
      <c r="W28" s="39"/>
      <c r="X28" s="39"/>
      <c r="Y28" s="39"/>
      <c r="Z28" s="39"/>
      <c r="AA28" s="39"/>
    </row>
    <row r="29" spans="1:27" s="23" customFormat="1" ht="24.75" customHeight="1">
      <c r="A29" s="337"/>
      <c r="B29" s="337"/>
      <c r="C29" s="321"/>
      <c r="D29" s="321"/>
      <c r="E29" s="31"/>
      <c r="F29" s="31"/>
      <c r="G29" s="322"/>
      <c r="H29" s="322"/>
      <c r="I29" s="322"/>
      <c r="J29" s="322"/>
      <c r="K29" s="322"/>
      <c r="L29" s="322"/>
      <c r="M29" s="338"/>
      <c r="N29" s="275"/>
      <c r="O29" s="275"/>
      <c r="P29" s="322"/>
      <c r="Q29" s="322"/>
      <c r="R29" s="322"/>
      <c r="S29" s="339"/>
      <c r="T29" s="50"/>
      <c r="U29" s="39"/>
      <c r="V29" s="141"/>
      <c r="W29" s="39"/>
      <c r="X29" s="39"/>
      <c r="Y29" s="39"/>
      <c r="Z29" s="39"/>
      <c r="AA29" s="39"/>
    </row>
    <row r="30" spans="1:27" s="23" customFormat="1" ht="24.75" customHeight="1">
      <c r="A30" s="337"/>
      <c r="B30" s="337"/>
      <c r="C30" s="321"/>
      <c r="D30" s="321"/>
      <c r="E30" s="31"/>
      <c r="F30" s="31"/>
      <c r="G30" s="322"/>
      <c r="H30" s="322"/>
      <c r="I30" s="322"/>
      <c r="J30" s="322"/>
      <c r="K30" s="322"/>
      <c r="L30" s="322"/>
      <c r="M30" s="338"/>
      <c r="N30" s="275"/>
      <c r="O30" s="275"/>
      <c r="P30" s="322"/>
      <c r="Q30" s="322"/>
      <c r="R30" s="322"/>
      <c r="S30" s="339"/>
      <c r="T30" s="50"/>
      <c r="U30" s="39"/>
      <c r="V30" s="141"/>
      <c r="W30" s="39"/>
      <c r="X30" s="39"/>
      <c r="Y30" s="39"/>
      <c r="Z30" s="39"/>
      <c r="AA30" s="39"/>
    </row>
    <row r="31" spans="1:27" s="23" customFormat="1" ht="24.75" customHeight="1">
      <c r="A31" s="337"/>
      <c r="B31" s="337"/>
      <c r="C31" s="321"/>
      <c r="D31" s="321"/>
      <c r="E31" s="31"/>
      <c r="F31" s="31"/>
      <c r="G31" s="31"/>
      <c r="H31" s="31"/>
      <c r="I31" s="31"/>
      <c r="J31" s="31"/>
      <c r="K31" s="31"/>
      <c r="L31" s="31"/>
      <c r="M31" s="282"/>
      <c r="N31" s="321"/>
      <c r="O31" s="321"/>
      <c r="P31" s="31"/>
      <c r="Q31" s="31"/>
      <c r="R31" s="31"/>
      <c r="S31" s="321"/>
      <c r="T31" s="50"/>
      <c r="U31" s="39"/>
      <c r="V31" s="141"/>
      <c r="W31" s="39"/>
      <c r="X31" s="39"/>
      <c r="Y31" s="39"/>
      <c r="Z31" s="39"/>
      <c r="AA31" s="39"/>
    </row>
    <row r="32" spans="1:27" s="23" customFormat="1" ht="24.75" customHeight="1">
      <c r="A32" s="337"/>
      <c r="B32" s="337"/>
      <c r="C32" s="321"/>
      <c r="D32" s="321"/>
      <c r="E32" s="31"/>
      <c r="F32" s="31"/>
      <c r="G32" s="31"/>
      <c r="H32" s="31"/>
      <c r="I32" s="31"/>
      <c r="J32" s="31"/>
      <c r="K32" s="31"/>
      <c r="L32" s="31"/>
      <c r="M32" s="282"/>
      <c r="N32" s="321"/>
      <c r="O32" s="321"/>
      <c r="P32" s="31"/>
      <c r="Q32" s="31"/>
      <c r="R32" s="31"/>
      <c r="S32" s="321"/>
      <c r="T32" s="50"/>
      <c r="U32" s="39"/>
      <c r="V32" s="141"/>
      <c r="W32" s="39"/>
      <c r="X32" s="39"/>
      <c r="Y32" s="39"/>
      <c r="Z32" s="39"/>
      <c r="AA32" s="39"/>
    </row>
    <row r="33" spans="1:27" s="23" customFormat="1" ht="24.75" customHeight="1">
      <c r="A33" s="337"/>
      <c r="B33" s="337"/>
      <c r="C33" s="321"/>
      <c r="D33" s="321"/>
      <c r="E33" s="31"/>
      <c r="F33" s="31"/>
      <c r="G33" s="31"/>
      <c r="H33" s="31"/>
      <c r="I33" s="31"/>
      <c r="J33" s="31"/>
      <c r="K33" s="31"/>
      <c r="L33" s="31"/>
      <c r="M33" s="282"/>
      <c r="N33" s="321"/>
      <c r="O33" s="321"/>
      <c r="P33" s="31"/>
      <c r="Q33" s="31"/>
      <c r="R33" s="31"/>
      <c r="S33" s="321"/>
      <c r="T33" s="50"/>
      <c r="U33" s="39"/>
      <c r="V33" s="141"/>
      <c r="W33" s="39"/>
      <c r="X33" s="39"/>
      <c r="Y33" s="39"/>
      <c r="Z33" s="39"/>
      <c r="AA33" s="39"/>
    </row>
    <row r="34" spans="1:27" s="23" customFormat="1" ht="24.75" customHeight="1">
      <c r="A34" s="337"/>
      <c r="B34" s="337"/>
      <c r="C34" s="321"/>
      <c r="D34" s="321"/>
      <c r="E34" s="31"/>
      <c r="F34" s="31"/>
      <c r="G34" s="31"/>
      <c r="H34" s="31"/>
      <c r="I34" s="31"/>
      <c r="J34" s="31"/>
      <c r="K34" s="31"/>
      <c r="L34" s="31"/>
      <c r="M34" s="282"/>
      <c r="N34" s="321"/>
      <c r="O34" s="321"/>
      <c r="P34" s="31"/>
      <c r="Q34" s="31"/>
      <c r="R34" s="31"/>
      <c r="S34" s="321"/>
      <c r="T34" s="50"/>
      <c r="U34" s="39"/>
      <c r="V34" s="141"/>
      <c r="W34" s="39"/>
      <c r="X34" s="39"/>
      <c r="Y34" s="39"/>
      <c r="Z34" s="39"/>
      <c r="AA34" s="39"/>
    </row>
    <row r="35" spans="1:27" s="23" customFormat="1" ht="24.75" customHeight="1">
      <c r="A35" s="337"/>
      <c r="B35" s="337"/>
      <c r="C35" s="321"/>
      <c r="D35" s="321"/>
      <c r="E35" s="31"/>
      <c r="F35" s="31"/>
      <c r="G35" s="31"/>
      <c r="H35" s="31"/>
      <c r="I35" s="31"/>
      <c r="J35" s="31"/>
      <c r="K35" s="31"/>
      <c r="L35" s="31"/>
      <c r="M35" s="282"/>
      <c r="N35" s="321"/>
      <c r="O35" s="321"/>
      <c r="P35" s="31"/>
      <c r="Q35" s="31"/>
      <c r="R35" s="31"/>
      <c r="S35" s="321"/>
      <c r="T35" s="50"/>
      <c r="U35" s="39"/>
      <c r="V35" s="141"/>
      <c r="W35" s="39"/>
      <c r="X35" s="39"/>
      <c r="Y35" s="39"/>
      <c r="Z35" s="39"/>
      <c r="AA35" s="39"/>
    </row>
    <row r="36" spans="1:27" s="23" customFormat="1" ht="24.75" customHeight="1">
      <c r="A36" s="337"/>
      <c r="B36" s="337"/>
      <c r="C36" s="321"/>
      <c r="D36" s="321"/>
      <c r="E36" s="31"/>
      <c r="F36" s="31"/>
      <c r="G36" s="31"/>
      <c r="H36" s="31"/>
      <c r="I36" s="31"/>
      <c r="J36" s="31"/>
      <c r="K36" s="31"/>
      <c r="L36" s="31"/>
      <c r="M36" s="282"/>
      <c r="N36" s="321"/>
      <c r="O36" s="321"/>
      <c r="P36" s="31"/>
      <c r="Q36" s="31"/>
      <c r="R36" s="31"/>
      <c r="S36" s="321"/>
      <c r="T36" s="50"/>
      <c r="U36" s="39"/>
      <c r="V36" s="141"/>
      <c r="W36" s="39"/>
      <c r="X36" s="39"/>
      <c r="Y36" s="39"/>
      <c r="Z36" s="39"/>
      <c r="AA36" s="39"/>
    </row>
    <row r="37" spans="1:27" s="23" customFormat="1" ht="24.75" customHeight="1">
      <c r="A37" s="337"/>
      <c r="B37" s="337"/>
      <c r="C37" s="321"/>
      <c r="D37" s="321"/>
      <c r="E37" s="31"/>
      <c r="F37" s="31"/>
      <c r="G37" s="31"/>
      <c r="H37" s="31"/>
      <c r="I37" s="31"/>
      <c r="J37" s="31"/>
      <c r="K37" s="31"/>
      <c r="L37" s="31"/>
      <c r="M37" s="282"/>
      <c r="N37" s="321"/>
      <c r="O37" s="321"/>
      <c r="P37" s="31"/>
      <c r="Q37" s="31"/>
      <c r="R37" s="31"/>
      <c r="S37" s="321"/>
      <c r="T37" s="50"/>
      <c r="U37" s="39"/>
      <c r="V37" s="141"/>
      <c r="W37" s="39"/>
      <c r="X37" s="39"/>
      <c r="Y37" s="39"/>
      <c r="Z37" s="39"/>
      <c r="AA37" s="39"/>
    </row>
    <row r="38" spans="1:20" ht="12" customHeight="1">
      <c r="A38" s="277" t="s">
        <v>564</v>
      </c>
      <c r="B38" s="277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</row>
    <row r="39" spans="1:27" s="7" customFormat="1" ht="14.25" customHeight="1">
      <c r="A39" s="1014" t="str">
        <f>CONCATENATE('Заявка стр. 1'!B4)</f>
        <v>АО "Научно-производственный центр "Вигстар"</v>
      </c>
      <c r="B39" s="1014"/>
      <c r="C39" s="1014"/>
      <c r="D39" s="1014"/>
      <c r="E39" s="1014"/>
      <c r="F39" s="1014"/>
      <c r="G39" s="1014"/>
      <c r="H39" s="1014"/>
      <c r="I39" s="1014"/>
      <c r="J39" s="1014"/>
      <c r="K39" s="1014"/>
      <c r="L39" s="1014"/>
      <c r="M39" s="1014"/>
      <c r="N39" s="1014"/>
      <c r="O39" s="1014"/>
      <c r="P39" s="1014"/>
      <c r="Q39" s="1014"/>
      <c r="R39" s="1014"/>
      <c r="S39" s="1014"/>
      <c r="T39" s="279"/>
      <c r="U39" s="6"/>
      <c r="V39" s="6"/>
      <c r="W39" s="6"/>
      <c r="X39" s="6"/>
      <c r="Y39" s="6"/>
      <c r="Z39" s="6"/>
      <c r="AA39" s="6"/>
    </row>
    <row r="40" spans="1:27" s="144" customFormat="1" ht="12.75">
      <c r="A40" s="803" t="str">
        <f>CONCATENATE('Заявка стр. 1'!B17)</f>
        <v>Заместитель генерального директора по экономике и финансам</v>
      </c>
      <c r="B40" s="803"/>
      <c r="C40" s="803"/>
      <c r="D40" s="803"/>
      <c r="E40" s="803"/>
      <c r="F40" s="803"/>
      <c r="G40" s="803"/>
      <c r="H40" s="803"/>
      <c r="I40" s="803"/>
      <c r="J40" s="803"/>
      <c r="K40" s="281"/>
      <c r="U40" s="143"/>
      <c r="V40" s="143"/>
      <c r="W40" s="143"/>
      <c r="X40" s="143"/>
      <c r="Y40" s="143"/>
      <c r="Z40" s="143"/>
      <c r="AA40" s="143"/>
    </row>
    <row r="41" spans="1:27" s="144" customFormat="1" ht="12.75">
      <c r="A41" s="706" t="str">
        <f>CONCATENATE('Заявка стр. 1'!A19)</f>
        <v>Короткевич Олег Иосифович</v>
      </c>
      <c r="B41" s="706"/>
      <c r="C41" s="706"/>
      <c r="D41" s="706"/>
      <c r="E41" s="707"/>
      <c r="F41" s="707"/>
      <c r="G41" s="707"/>
      <c r="H41" s="707"/>
      <c r="I41" s="707"/>
      <c r="J41" s="707"/>
      <c r="K41" s="312"/>
      <c r="O41" s="820" t="s">
        <v>260</v>
      </c>
      <c r="P41" s="820"/>
      <c r="Q41" s="820"/>
      <c r="R41" s="820"/>
      <c r="S41" s="820"/>
      <c r="T41" s="320"/>
      <c r="U41" s="143"/>
      <c r="Y41" s="143"/>
      <c r="Z41" s="143"/>
      <c r="AA41" s="143"/>
    </row>
    <row r="42" spans="1:27" s="144" customFormat="1" ht="12.75">
      <c r="A42" s="43"/>
      <c r="B42" s="43"/>
      <c r="C42" s="43"/>
      <c r="D42" s="313"/>
      <c r="E42" s="290"/>
      <c r="F42" s="290"/>
      <c r="G42" s="290"/>
      <c r="H42" s="290"/>
      <c r="I42" s="290" t="s">
        <v>991</v>
      </c>
      <c r="J42" s="290"/>
      <c r="K42" s="314"/>
      <c r="L42" s="314"/>
      <c r="M42" s="314"/>
      <c r="N42" s="314"/>
      <c r="U42" s="143"/>
      <c r="V42" s="143"/>
      <c r="W42" s="143"/>
      <c r="X42" s="143"/>
      <c r="Y42" s="143"/>
      <c r="Z42" s="143"/>
      <c r="AA42" s="143"/>
    </row>
    <row r="43" spans="1:20" ht="12.75" customHeight="1">
      <c r="A43" s="49"/>
      <c r="B43" s="49"/>
      <c r="C43" s="49"/>
      <c r="D43" s="49"/>
      <c r="E43" s="49"/>
      <c r="F43" s="49"/>
      <c r="G43" s="49"/>
      <c r="H43" s="49"/>
      <c r="I43" s="4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2.75">
      <c r="A44" s="49"/>
      <c r="B44" s="49"/>
      <c r="C44" s="49"/>
      <c r="D44" s="49"/>
      <c r="E44" s="49"/>
      <c r="F44" s="49"/>
      <c r="G44" s="49"/>
      <c r="H44" s="49"/>
      <c r="I44" s="49"/>
      <c r="J44" s="40"/>
      <c r="K44" s="40"/>
      <c r="L44" s="54"/>
      <c r="M44" s="54"/>
      <c r="N44" s="319"/>
      <c r="O44" s="319"/>
      <c r="P44" s="283"/>
      <c r="Q44" s="116"/>
      <c r="R44" s="116"/>
      <c r="S44" s="116"/>
      <c r="T44" s="116"/>
    </row>
    <row r="45" spans="1:20" ht="13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8"/>
      <c r="M45" s="48"/>
      <c r="N45" s="40"/>
      <c r="O45" s="40"/>
      <c r="P45" s="40"/>
      <c r="Q45" s="39"/>
      <c r="R45" s="39"/>
      <c r="S45" s="39"/>
      <c r="T45" s="39"/>
    </row>
    <row r="46" spans="1:20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39"/>
      <c r="M46" s="39"/>
      <c r="N46" s="49"/>
      <c r="O46" s="39"/>
      <c r="P46" s="39"/>
      <c r="Q46" s="40"/>
      <c r="R46" s="40"/>
      <c r="S46" s="39"/>
      <c r="T46" s="39"/>
    </row>
    <row r="47" spans="1:20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1:20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</row>
    <row r="52" spans="1:20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</row>
    <row r="58" spans="1:20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</row>
    <row r="59" spans="1:20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</row>
    <row r="60" spans="1:20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</row>
    <row r="61" spans="1:20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</row>
    <row r="62" spans="1:20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</row>
    <row r="63" spans="1:20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</row>
    <row r="64" spans="1:20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</row>
    <row r="65" spans="1:20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</row>
    <row r="66" spans="1:20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</row>
    <row r="67" spans="1:20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</row>
    <row r="68" spans="1:20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</row>
    <row r="69" spans="1:20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</row>
    <row r="70" spans="1:20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</row>
    <row r="71" spans="1:20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</row>
    <row r="72" spans="1:20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0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</row>
  </sheetData>
  <sheetProtection password="CC03" sheet="1" objects="1" scenarios="1" formatCells="0" formatColumns="0" formatRows="0" selectLockedCells="1"/>
  <mergeCells count="29">
    <mergeCell ref="D1:G1"/>
    <mergeCell ref="D2:H2"/>
    <mergeCell ref="A1:B1"/>
    <mergeCell ref="A14:S14"/>
    <mergeCell ref="B5:E5"/>
    <mergeCell ref="B9:E9"/>
    <mergeCell ref="B11:E11"/>
    <mergeCell ref="R5:S5"/>
    <mergeCell ref="R7:S7"/>
    <mergeCell ref="R9:S9"/>
    <mergeCell ref="R11:S11"/>
    <mergeCell ref="P5:Q5"/>
    <mergeCell ref="P7:Q7"/>
    <mergeCell ref="P9:Q9"/>
    <mergeCell ref="P11:Q11"/>
    <mergeCell ref="M3:O3"/>
    <mergeCell ref="J5:O7"/>
    <mergeCell ref="J9:O9"/>
    <mergeCell ref="J11:O11"/>
    <mergeCell ref="D3:G3"/>
    <mergeCell ref="P3:S3"/>
    <mergeCell ref="O41:S41"/>
    <mergeCell ref="A39:S39"/>
    <mergeCell ref="A7:E7"/>
    <mergeCell ref="A40:J40"/>
    <mergeCell ref="A41:J41"/>
    <mergeCell ref="I1:K3"/>
    <mergeCell ref="N1:S1"/>
    <mergeCell ref="N2:S2"/>
  </mergeCells>
  <conditionalFormatting sqref="R7:S7 R5:S5 R9:S9 R11:S11">
    <cfRule type="cellIs" priority="1" dxfId="65" operator="equal" stopIfTrue="1">
      <formula>0</formula>
    </cfRule>
  </conditionalFormatting>
  <hyperlinks>
    <hyperlink ref="B11" r:id="rId1" display="montage@b95.ru"/>
  </hyperlinks>
  <printOptions horizontalCentered="1"/>
  <pageMargins left="0.7874015748031497" right="0.3937007874015748" top="0.5905511811023623" bottom="0.5905511811023623" header="0.31496062992125984" footer="0.511811023622047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V88"/>
  <sheetViews>
    <sheetView tabSelected="1" zoomScale="115" zoomScaleNormal="115" zoomScalePageLayoutView="0" workbookViewId="0" topLeftCell="A1">
      <selection activeCell="H22" sqref="H22:J22"/>
    </sheetView>
  </sheetViews>
  <sheetFormatPr defaultColWidth="9.00390625" defaultRowHeight="12.75"/>
  <cols>
    <col min="1" max="2" width="9.375" style="1" customWidth="1"/>
    <col min="3" max="3" width="10.75390625" style="1" customWidth="1"/>
    <col min="4" max="4" width="0.2421875" style="1" customWidth="1"/>
    <col min="5" max="5" width="11.875" style="1" customWidth="1"/>
    <col min="6" max="6" width="10.875" style="1" customWidth="1"/>
    <col min="7" max="7" width="4.625" style="1" customWidth="1"/>
    <col min="8" max="8" width="13.875" style="1" customWidth="1"/>
    <col min="9" max="9" width="0.37109375" style="1" customWidth="1"/>
    <col min="10" max="10" width="8.75390625" style="1" customWidth="1"/>
    <col min="11" max="11" width="10.00390625" style="1" customWidth="1"/>
    <col min="12" max="12" width="4.75390625" style="7" customWidth="1"/>
    <col min="13" max="20" width="9.125" style="7" customWidth="1"/>
    <col min="21" max="16384" width="9.125" style="1" customWidth="1"/>
  </cols>
  <sheetData>
    <row r="1" spans="1:12" ht="17.25" customHeight="1">
      <c r="A1" t="s">
        <v>689</v>
      </c>
      <c r="B1"/>
      <c r="C1"/>
      <c r="D1"/>
      <c r="E1"/>
      <c r="F1" s="1092">
        <v>2</v>
      </c>
      <c r="G1" s="1009" t="s">
        <v>569</v>
      </c>
      <c r="H1" s="1009"/>
      <c r="I1" s="1009"/>
      <c r="J1" s="1009"/>
      <c r="K1" s="1009"/>
      <c r="L1" s="1104"/>
    </row>
    <row r="2" spans="1:12" ht="27.75" customHeight="1">
      <c r="A2" s="1004" t="s">
        <v>696</v>
      </c>
      <c r="B2" s="1004"/>
      <c r="C2" s="1004" t="str">
        <f>'содержание '!C79</f>
        <v>ArmHiTec-2016</v>
      </c>
      <c r="D2" s="1004"/>
      <c r="E2" s="1004"/>
      <c r="F2" s="1092"/>
      <c r="G2" s="1091"/>
      <c r="H2" s="1091"/>
      <c r="I2" s="1091"/>
      <c r="J2" s="1091"/>
      <c r="K2" s="1091"/>
      <c r="L2" s="1104"/>
    </row>
    <row r="3" spans="1:12" ht="14.25" customHeight="1">
      <c r="A3" s="417" t="s">
        <v>697</v>
      </c>
      <c r="B3" s="207" t="str">
        <f>CONCATENATE('содержание '!C104)</f>
        <v>/AHT</v>
      </c>
      <c r="C3" s="1052" t="s">
        <v>257</v>
      </c>
      <c r="D3" s="1052"/>
      <c r="E3" s="1052"/>
      <c r="F3" s="1093"/>
      <c r="G3" s="1094" t="s">
        <v>122</v>
      </c>
      <c r="H3" s="1094"/>
      <c r="I3" s="208"/>
      <c r="J3" s="1037" t="str">
        <f>CONCATENATE('содержание '!C95)</f>
        <v>14 сентября 2016 г.</v>
      </c>
      <c r="K3" s="1037"/>
      <c r="L3" s="1104"/>
    </row>
    <row r="4" spans="1:13" ht="3.75" customHeight="1">
      <c r="A4" s="31"/>
      <c r="B4" s="34"/>
      <c r="C4" s="152"/>
      <c r="D4" s="152"/>
      <c r="E4" s="152"/>
      <c r="F4" s="177"/>
      <c r="G4" s="149"/>
      <c r="H4" s="149"/>
      <c r="I4" s="149"/>
      <c r="J4" s="52"/>
      <c r="K4" s="52"/>
      <c r="L4" s="1104"/>
      <c r="M4" s="22"/>
    </row>
    <row r="5" spans="1:13" ht="12" customHeight="1">
      <c r="A5" s="316" t="s">
        <v>121</v>
      </c>
      <c r="B5" s="721" t="s">
        <v>981</v>
      </c>
      <c r="C5" s="721"/>
      <c r="D5" s="176"/>
      <c r="E5" s="155" t="s">
        <v>564</v>
      </c>
      <c r="F5" s="728" t="str">
        <f>CONCATENATE('Заявка стр. 1'!B4)</f>
        <v>АО "Научно-производственный центр "Вигстар"</v>
      </c>
      <c r="G5" s="728"/>
      <c r="H5" s="728"/>
      <c r="I5" s="188"/>
      <c r="J5" s="686" t="s">
        <v>272</v>
      </c>
      <c r="K5" s="291">
        <f>'Заявка стр. 2'!L8</f>
        <v>0</v>
      </c>
      <c r="L5" s="1104"/>
      <c r="M5" s="22"/>
    </row>
    <row r="6" spans="1:13" ht="2.25" customHeight="1">
      <c r="A6" s="193"/>
      <c r="B6" s="194"/>
      <c r="C6" s="165"/>
      <c r="D6" s="165"/>
      <c r="E6" s="155"/>
      <c r="F6" s="728"/>
      <c r="G6" s="728"/>
      <c r="H6" s="728"/>
      <c r="I6" s="188"/>
      <c r="J6" s="161"/>
      <c r="K6" s="180"/>
      <c r="L6" s="1104"/>
      <c r="M6" s="153"/>
    </row>
    <row r="7" spans="1:13" ht="12" customHeight="1">
      <c r="A7" s="721" t="s">
        <v>980</v>
      </c>
      <c r="B7" s="721"/>
      <c r="C7" s="721"/>
      <c r="D7" s="176"/>
      <c r="E7" s="174"/>
      <c r="F7" s="818"/>
      <c r="G7" s="818"/>
      <c r="H7" s="818"/>
      <c r="I7" s="188"/>
      <c r="J7" s="153" t="s">
        <v>713</v>
      </c>
      <c r="K7" s="291">
        <f>'Заявка стр. 2'!L10</f>
        <v>0</v>
      </c>
      <c r="L7" s="1104"/>
      <c r="M7" s="22"/>
    </row>
    <row r="8" spans="1:13" ht="2.25" customHeight="1">
      <c r="A8" s="166"/>
      <c r="B8" s="164"/>
      <c r="C8" s="167"/>
      <c r="D8" s="167"/>
      <c r="E8" s="157"/>
      <c r="F8" s="7"/>
      <c r="G8" s="159"/>
      <c r="H8" s="181"/>
      <c r="I8" s="181"/>
      <c r="J8" s="154"/>
      <c r="K8" s="180"/>
      <c r="L8" s="1104"/>
      <c r="M8" s="22"/>
    </row>
    <row r="9" spans="1:13" ht="12" customHeight="1">
      <c r="A9" s="170" t="s">
        <v>982</v>
      </c>
      <c r="B9" s="724" t="s">
        <v>1051</v>
      </c>
      <c r="C9" s="724"/>
      <c r="D9" s="166"/>
      <c r="E9" s="155" t="s">
        <v>977</v>
      </c>
      <c r="F9" s="871" t="str">
        <f>CONCATENATE('Заявка стр. 1'!A25)</f>
        <v>Симонова Наталья Владимировна</v>
      </c>
      <c r="G9" s="871"/>
      <c r="H9" s="871"/>
      <c r="I9" s="182"/>
      <c r="J9" s="153" t="s">
        <v>979</v>
      </c>
      <c r="K9" s="291">
        <f>'Заявка стр. 2'!L12</f>
        <v>0</v>
      </c>
      <c r="L9" s="1104"/>
      <c r="M9" s="22"/>
    </row>
    <row r="10" spans="1:13" ht="2.25" customHeight="1">
      <c r="A10" s="166"/>
      <c r="B10" s="164"/>
      <c r="C10" s="164"/>
      <c r="D10" s="164"/>
      <c r="E10" s="160"/>
      <c r="F10" s="7"/>
      <c r="G10" s="174"/>
      <c r="H10" s="182"/>
      <c r="I10" s="182"/>
      <c r="J10" s="154"/>
      <c r="K10" s="180"/>
      <c r="L10" s="1104"/>
      <c r="M10" s="22"/>
    </row>
    <row r="11" spans="1:13" ht="12" customHeight="1">
      <c r="A11" s="170" t="s">
        <v>595</v>
      </c>
      <c r="B11" s="1071" t="s">
        <v>570</v>
      </c>
      <c r="C11" s="1072"/>
      <c r="D11" s="166"/>
      <c r="E11" s="173" t="s">
        <v>978</v>
      </c>
      <c r="F11" s="871" t="str">
        <f>CONCATENATE('Заявка стр. 1'!B27)</f>
        <v>(495) 276-52-71</v>
      </c>
      <c r="G11" s="871"/>
      <c r="H11" s="871"/>
      <c r="I11" s="182"/>
      <c r="J11" s="153"/>
      <c r="K11" s="180"/>
      <c r="L11" s="1104"/>
      <c r="M11" s="22"/>
    </row>
    <row r="12" spans="1:13" ht="4.5" customHeight="1">
      <c r="A12" s="203"/>
      <c r="B12" s="204"/>
      <c r="C12" s="204"/>
      <c r="D12" s="203"/>
      <c r="E12" s="205"/>
      <c r="F12" s="202"/>
      <c r="G12" s="202"/>
      <c r="H12" s="202"/>
      <c r="I12" s="206"/>
      <c r="J12" s="209"/>
      <c r="K12" s="210"/>
      <c r="L12" s="1104"/>
      <c r="M12" s="22"/>
    </row>
    <row r="13" spans="1:13" ht="3.75" customHeight="1">
      <c r="A13" s="166"/>
      <c r="B13" s="178"/>
      <c r="C13" s="166"/>
      <c r="D13" s="166"/>
      <c r="E13" s="166"/>
      <c r="F13" s="173"/>
      <c r="G13" s="174"/>
      <c r="H13" s="175"/>
      <c r="I13" s="175"/>
      <c r="J13" s="175"/>
      <c r="K13" s="175"/>
      <c r="L13" s="1104"/>
      <c r="M13" s="153"/>
    </row>
    <row r="14" spans="1:13" ht="27.75" customHeight="1">
      <c r="A14" s="1004" t="s">
        <v>311</v>
      </c>
      <c r="B14" s="1004"/>
      <c r="C14" s="1004"/>
      <c r="D14" s="1004"/>
      <c r="E14" s="1004"/>
      <c r="F14" s="1004"/>
      <c r="G14" s="1004"/>
      <c r="H14" s="1004"/>
      <c r="I14" s="1004"/>
      <c r="J14" s="1004"/>
      <c r="K14" s="1004"/>
      <c r="L14" s="1104"/>
      <c r="M14" s="184"/>
    </row>
    <row r="15" spans="1:13" ht="14.25" customHeight="1">
      <c r="A15" s="1067" t="s">
        <v>695</v>
      </c>
      <c r="B15" s="1067"/>
      <c r="C15" s="98" t="s">
        <v>176</v>
      </c>
      <c r="D15" s="98"/>
      <c r="E15" s="37"/>
      <c r="F15" s="38"/>
      <c r="G15" s="1068"/>
      <c r="H15" s="1068"/>
      <c r="I15" s="1068"/>
      <c r="J15" s="1068"/>
      <c r="K15" s="1068"/>
      <c r="L15" s="1104"/>
      <c r="M15" s="22"/>
    </row>
    <row r="16" spans="1:21" s="7" customFormat="1" ht="17.25" customHeight="1">
      <c r="A16" s="1062" t="s">
        <v>682</v>
      </c>
      <c r="B16" s="1062"/>
      <c r="C16" s="1062"/>
      <c r="D16" s="1062"/>
      <c r="E16" s="1062"/>
      <c r="F16" s="1062"/>
      <c r="G16" s="1062"/>
      <c r="H16" s="1062"/>
      <c r="I16" s="1062"/>
      <c r="J16" s="1062"/>
      <c r="K16" s="1062"/>
      <c r="L16" s="1104"/>
      <c r="M16" s="22"/>
      <c r="P16" s="21"/>
      <c r="Q16" s="94"/>
      <c r="R16" s="43"/>
      <c r="S16" s="43"/>
      <c r="T16" s="43"/>
      <c r="U16" s="22"/>
    </row>
    <row r="17" spans="1:21" s="7" customFormat="1" ht="22.5" customHeight="1">
      <c r="A17" s="1063" t="s">
        <v>537</v>
      </c>
      <c r="B17" s="1063"/>
      <c r="C17" s="1063"/>
      <c r="D17" s="1063"/>
      <c r="E17" s="1063"/>
      <c r="F17" s="847" t="s">
        <v>86</v>
      </c>
      <c r="G17" s="847"/>
      <c r="H17" s="847" t="s">
        <v>400</v>
      </c>
      <c r="I17" s="847"/>
      <c r="J17" s="847"/>
      <c r="K17" s="197" t="s">
        <v>87</v>
      </c>
      <c r="L17" s="1104"/>
      <c r="M17" s="41"/>
      <c r="P17" s="41"/>
      <c r="Q17" s="94"/>
      <c r="R17" s="41"/>
      <c r="S17" s="41"/>
      <c r="T17" s="41"/>
      <c r="U17" s="41"/>
    </row>
    <row r="18" spans="1:21" ht="12.75" customHeight="1">
      <c r="A18" s="1059" t="s">
        <v>538</v>
      </c>
      <c r="B18" s="1059"/>
      <c r="C18" s="1059"/>
      <c r="D18" s="1059"/>
      <c r="E18" s="1077"/>
      <c r="F18" s="1073">
        <f>9*49</f>
        <v>441</v>
      </c>
      <c r="G18" s="1074"/>
      <c r="H18" s="1075">
        <f>'Заявка стр. 2'!K23+'Заявка стр. 2'!K25+'Заявка стр. 2'!K24</f>
        <v>6</v>
      </c>
      <c r="I18" s="1076"/>
      <c r="J18" s="1076"/>
      <c r="K18" s="211">
        <f>F18*H18</f>
        <v>2646</v>
      </c>
      <c r="L18" s="1104"/>
      <c r="M18" s="41"/>
      <c r="P18" s="21"/>
      <c r="Q18" s="94"/>
      <c r="R18" s="41"/>
      <c r="S18" s="41"/>
      <c r="T18" s="41"/>
      <c r="U18" s="3"/>
    </row>
    <row r="19" spans="1:21" s="7" customFormat="1" ht="39.75" customHeight="1">
      <c r="A19" s="1058" t="s">
        <v>1011</v>
      </c>
      <c r="B19" s="1064"/>
      <c r="C19" s="1064"/>
      <c r="D19" s="1064"/>
      <c r="E19" s="1064"/>
      <c r="F19" s="1064"/>
      <c r="G19" s="1064"/>
      <c r="H19" s="1064"/>
      <c r="I19" s="1064"/>
      <c r="J19" s="1064"/>
      <c r="K19" s="1064"/>
      <c r="L19" s="1104"/>
      <c r="M19" s="22"/>
      <c r="P19" s="21"/>
      <c r="Q19" s="94"/>
      <c r="R19" s="43"/>
      <c r="S19" s="43"/>
      <c r="T19" s="43"/>
      <c r="U19" s="22"/>
    </row>
    <row r="20" spans="1:21" s="7" customFormat="1" ht="31.5" customHeight="1">
      <c r="A20" s="1062" t="s">
        <v>1037</v>
      </c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1104"/>
      <c r="M20" s="22"/>
      <c r="P20" s="21"/>
      <c r="Q20" s="94"/>
      <c r="R20" s="43"/>
      <c r="S20" s="43"/>
      <c r="T20" s="43"/>
      <c r="U20" s="22"/>
    </row>
    <row r="21" spans="1:21" s="7" customFormat="1" ht="22.5" customHeight="1">
      <c r="A21" s="1063" t="s">
        <v>124</v>
      </c>
      <c r="B21" s="1063"/>
      <c r="C21" s="1063"/>
      <c r="D21" s="1063"/>
      <c r="E21" s="1063"/>
      <c r="F21" s="847" t="s">
        <v>86</v>
      </c>
      <c r="G21" s="847"/>
      <c r="H21" s="847" t="s">
        <v>1101</v>
      </c>
      <c r="I21" s="847"/>
      <c r="J21" s="847"/>
      <c r="K21" s="197" t="s">
        <v>87</v>
      </c>
      <c r="L21" s="1104"/>
      <c r="M21" s="41"/>
      <c r="P21" s="41"/>
      <c r="Q21" s="94"/>
      <c r="R21" s="41"/>
      <c r="S21" s="41"/>
      <c r="T21" s="41"/>
      <c r="U21" s="41"/>
    </row>
    <row r="22" spans="1:21" ht="12.75" customHeight="1">
      <c r="A22" s="1059" t="s">
        <v>958</v>
      </c>
      <c r="B22" s="1059"/>
      <c r="C22" s="1059"/>
      <c r="D22" s="1059"/>
      <c r="E22" s="1077"/>
      <c r="F22" s="1073">
        <v>15288</v>
      </c>
      <c r="G22" s="1074"/>
      <c r="H22" s="1095">
        <v>0</v>
      </c>
      <c r="I22" s="1060"/>
      <c r="J22" s="1060"/>
      <c r="K22" s="211">
        <f aca="true" t="shared" si="0" ref="K22:K29">F22*H22</f>
        <v>0</v>
      </c>
      <c r="L22" s="1104"/>
      <c r="M22" s="41"/>
      <c r="P22" s="21"/>
      <c r="Q22" s="94"/>
      <c r="R22" s="41"/>
      <c r="S22" s="41"/>
      <c r="T22" s="41"/>
      <c r="U22" s="3"/>
    </row>
    <row r="23" spans="1:21" ht="12.75" customHeight="1">
      <c r="A23" s="1078" t="s">
        <v>959</v>
      </c>
      <c r="B23" s="1078"/>
      <c r="C23" s="1078"/>
      <c r="D23" s="1078"/>
      <c r="E23" s="1079"/>
      <c r="F23" s="978">
        <v>25088</v>
      </c>
      <c r="G23" s="979"/>
      <c r="H23" s="1065">
        <v>0</v>
      </c>
      <c r="I23" s="970"/>
      <c r="J23" s="970"/>
      <c r="K23" s="198">
        <f t="shared" si="0"/>
        <v>0</v>
      </c>
      <c r="L23" s="1104"/>
      <c r="M23" s="41"/>
      <c r="P23" s="96"/>
      <c r="Q23" s="96"/>
      <c r="R23" s="41"/>
      <c r="S23" s="41"/>
      <c r="T23" s="41"/>
      <c r="U23" s="3"/>
    </row>
    <row r="24" spans="1:21" ht="12.75" customHeight="1">
      <c r="A24" s="1078" t="s">
        <v>960</v>
      </c>
      <c r="B24" s="1078"/>
      <c r="C24" s="1078"/>
      <c r="D24" s="1078"/>
      <c r="E24" s="1079"/>
      <c r="F24" s="978">
        <v>31605</v>
      </c>
      <c r="G24" s="979"/>
      <c r="H24" s="1065">
        <v>0</v>
      </c>
      <c r="I24" s="970"/>
      <c r="J24" s="970"/>
      <c r="K24" s="198">
        <f t="shared" si="0"/>
        <v>0</v>
      </c>
      <c r="L24" s="1104"/>
      <c r="M24" s="41"/>
      <c r="P24" s="21"/>
      <c r="Q24" s="94"/>
      <c r="R24" s="41"/>
      <c r="S24" s="41"/>
      <c r="T24" s="41"/>
      <c r="U24" s="3"/>
    </row>
    <row r="25" spans="1:21" ht="12.75" customHeight="1">
      <c r="A25" s="1078" t="s">
        <v>961</v>
      </c>
      <c r="B25" s="1078"/>
      <c r="C25" s="1078"/>
      <c r="D25" s="1078"/>
      <c r="E25" s="1079"/>
      <c r="F25" s="978">
        <v>40327</v>
      </c>
      <c r="G25" s="979"/>
      <c r="H25" s="1065">
        <v>0</v>
      </c>
      <c r="I25" s="970"/>
      <c r="J25" s="970"/>
      <c r="K25" s="198">
        <f>F25*H25</f>
        <v>0</v>
      </c>
      <c r="L25" s="1104"/>
      <c r="M25" s="41"/>
      <c r="P25" s="21"/>
      <c r="Q25" s="94"/>
      <c r="R25" s="41"/>
      <c r="S25" s="41"/>
      <c r="T25" s="41"/>
      <c r="U25" s="3"/>
    </row>
    <row r="26" spans="1:21" ht="12.75" customHeight="1">
      <c r="A26" s="1078" t="s">
        <v>962</v>
      </c>
      <c r="B26" s="1078"/>
      <c r="C26" s="1078"/>
      <c r="D26" s="1078"/>
      <c r="E26" s="1079"/>
      <c r="F26" s="978">
        <v>50127</v>
      </c>
      <c r="G26" s="979"/>
      <c r="H26" s="1065">
        <v>0</v>
      </c>
      <c r="I26" s="970"/>
      <c r="J26" s="970"/>
      <c r="K26" s="198">
        <f t="shared" si="0"/>
        <v>0</v>
      </c>
      <c r="L26" s="1104"/>
      <c r="M26" s="41"/>
      <c r="P26" s="96"/>
      <c r="Q26" s="96"/>
      <c r="R26" s="41"/>
      <c r="S26" s="41"/>
      <c r="T26" s="41"/>
      <c r="U26" s="3"/>
    </row>
    <row r="27" spans="1:21" ht="12.75" customHeight="1">
      <c r="A27" s="1097" t="s">
        <v>957</v>
      </c>
      <c r="B27" s="1097"/>
      <c r="C27" s="1097"/>
      <c r="D27" s="1097"/>
      <c r="E27" s="1099"/>
      <c r="F27" s="1100">
        <v>57722</v>
      </c>
      <c r="G27" s="1101"/>
      <c r="H27" s="1098">
        <v>0</v>
      </c>
      <c r="I27" s="1096"/>
      <c r="J27" s="1096"/>
      <c r="K27" s="198">
        <f t="shared" si="0"/>
        <v>0</v>
      </c>
      <c r="L27" s="1104"/>
      <c r="M27" s="41"/>
      <c r="P27" s="96"/>
      <c r="Q27" s="96"/>
      <c r="R27" s="41"/>
      <c r="S27" s="41"/>
      <c r="T27" s="41"/>
      <c r="U27" s="3"/>
    </row>
    <row r="28" spans="1:21" ht="12.75" customHeight="1" hidden="1">
      <c r="A28" s="1097" t="s">
        <v>1012</v>
      </c>
      <c r="B28" s="1097"/>
      <c r="C28" s="1097"/>
      <c r="D28" s="1097"/>
      <c r="E28" s="1097"/>
      <c r="F28" s="1105">
        <v>44550</v>
      </c>
      <c r="G28" s="1105"/>
      <c r="H28" s="1096">
        <v>0</v>
      </c>
      <c r="I28" s="1096"/>
      <c r="J28" s="1096"/>
      <c r="K28" s="198">
        <f t="shared" si="0"/>
        <v>0</v>
      </c>
      <c r="L28" s="1104"/>
      <c r="M28" s="41"/>
      <c r="P28" s="96"/>
      <c r="Q28" s="96"/>
      <c r="R28" s="41"/>
      <c r="S28" s="41"/>
      <c r="T28" s="41"/>
      <c r="U28" s="3"/>
    </row>
    <row r="29" spans="1:21" ht="12.75" customHeight="1" hidden="1">
      <c r="A29" s="1097" t="s">
        <v>1013</v>
      </c>
      <c r="B29" s="1097"/>
      <c r="C29" s="1097"/>
      <c r="D29" s="1097"/>
      <c r="E29" s="1097"/>
      <c r="F29" s="1106">
        <v>69750</v>
      </c>
      <c r="G29" s="1106"/>
      <c r="H29" s="1096">
        <v>0</v>
      </c>
      <c r="I29" s="1096"/>
      <c r="J29" s="1096"/>
      <c r="K29" s="198">
        <f t="shared" si="0"/>
        <v>0</v>
      </c>
      <c r="L29" s="1104"/>
      <c r="M29" s="41"/>
      <c r="P29" s="96"/>
      <c r="Q29" s="96"/>
      <c r="R29" s="41"/>
      <c r="S29" s="41"/>
      <c r="T29" s="41"/>
      <c r="U29" s="3"/>
    </row>
    <row r="30" spans="1:21" s="7" customFormat="1" ht="54.75" customHeight="1">
      <c r="A30" s="1102" t="s">
        <v>0</v>
      </c>
      <c r="B30" s="1103"/>
      <c r="C30" s="1103"/>
      <c r="D30" s="1103"/>
      <c r="E30" s="1103"/>
      <c r="F30" s="1103"/>
      <c r="G30" s="1103"/>
      <c r="H30" s="1103"/>
      <c r="I30" s="1103"/>
      <c r="J30" s="1103"/>
      <c r="K30" s="1103"/>
      <c r="L30" s="1104"/>
      <c r="M30" s="22"/>
      <c r="P30" s="21"/>
      <c r="Q30" s="94"/>
      <c r="R30" s="43"/>
      <c r="S30" s="43"/>
      <c r="T30" s="43"/>
      <c r="U30" s="22"/>
    </row>
    <row r="31" spans="5:21" s="7" customFormat="1" ht="3" customHeight="1">
      <c r="E31" s="99"/>
      <c r="F31" s="46"/>
      <c r="G31" s="46"/>
      <c r="H31" s="101"/>
      <c r="I31" s="101"/>
      <c r="J31" s="101"/>
      <c r="K31" s="114"/>
      <c r="L31" s="1104"/>
      <c r="M31" s="22"/>
      <c r="P31" s="96"/>
      <c r="Q31" s="96"/>
      <c r="R31" s="43"/>
      <c r="S31" s="43"/>
      <c r="T31" s="43"/>
      <c r="U31" s="22"/>
    </row>
    <row r="32" spans="1:21" s="7" customFormat="1" ht="22.5" customHeight="1">
      <c r="A32" s="1063" t="s">
        <v>125</v>
      </c>
      <c r="B32" s="1063"/>
      <c r="C32" s="1063"/>
      <c r="D32" s="1063"/>
      <c r="E32" s="1063"/>
      <c r="F32" s="847" t="s">
        <v>86</v>
      </c>
      <c r="G32" s="847"/>
      <c r="H32" s="847" t="s">
        <v>1101</v>
      </c>
      <c r="I32" s="847"/>
      <c r="J32" s="847"/>
      <c r="K32" s="197" t="s">
        <v>87</v>
      </c>
      <c r="L32" s="1104"/>
      <c r="M32" s="41"/>
      <c r="P32" s="41"/>
      <c r="Q32" s="94"/>
      <c r="R32" s="41"/>
      <c r="S32" s="41"/>
      <c r="T32" s="41"/>
      <c r="U32" s="41"/>
    </row>
    <row r="33" spans="1:21" ht="12.75" customHeight="1">
      <c r="A33" s="1059" t="s">
        <v>958</v>
      </c>
      <c r="B33" s="1059"/>
      <c r="C33" s="1059"/>
      <c r="D33" s="1059"/>
      <c r="E33" s="1077"/>
      <c r="F33" s="1073">
        <v>12005</v>
      </c>
      <c r="G33" s="1074"/>
      <c r="H33" s="1095">
        <v>0</v>
      </c>
      <c r="I33" s="1060"/>
      <c r="J33" s="1060"/>
      <c r="K33" s="211">
        <f aca="true" t="shared" si="1" ref="K33:K40">F33*H33</f>
        <v>0</v>
      </c>
      <c r="L33" s="1104"/>
      <c r="M33" s="41"/>
      <c r="P33" s="21"/>
      <c r="Q33" s="94"/>
      <c r="R33" s="41"/>
      <c r="S33" s="41"/>
      <c r="T33" s="41"/>
      <c r="U33" s="3"/>
    </row>
    <row r="34" spans="1:21" ht="12.75" customHeight="1">
      <c r="A34" s="1078" t="s">
        <v>959</v>
      </c>
      <c r="B34" s="1078"/>
      <c r="C34" s="1078"/>
      <c r="D34" s="1078"/>
      <c r="E34" s="1079"/>
      <c r="F34" s="978">
        <v>19600</v>
      </c>
      <c r="G34" s="979"/>
      <c r="H34" s="1065">
        <v>0</v>
      </c>
      <c r="I34" s="970"/>
      <c r="J34" s="970"/>
      <c r="K34" s="198">
        <f t="shared" si="1"/>
        <v>0</v>
      </c>
      <c r="L34" s="1104"/>
      <c r="M34" s="41"/>
      <c r="P34" s="96"/>
      <c r="Q34" s="96"/>
      <c r="R34" s="41"/>
      <c r="S34" s="41"/>
      <c r="T34" s="41"/>
      <c r="U34" s="3"/>
    </row>
    <row r="35" spans="1:21" ht="12.75" customHeight="1">
      <c r="A35" s="1078" t="s">
        <v>960</v>
      </c>
      <c r="B35" s="1078"/>
      <c r="C35" s="1078"/>
      <c r="D35" s="1078"/>
      <c r="E35" s="1079"/>
      <c r="F35" s="978">
        <v>26166</v>
      </c>
      <c r="G35" s="979"/>
      <c r="H35" s="1065">
        <v>0</v>
      </c>
      <c r="I35" s="970"/>
      <c r="J35" s="970"/>
      <c r="K35" s="198">
        <f t="shared" si="1"/>
        <v>0</v>
      </c>
      <c r="L35" s="1104"/>
      <c r="M35" s="41"/>
      <c r="P35" s="21"/>
      <c r="Q35" s="94"/>
      <c r="R35" s="41"/>
      <c r="S35" s="41"/>
      <c r="T35" s="41"/>
      <c r="U35" s="3"/>
    </row>
    <row r="36" spans="1:21" ht="12.75" customHeight="1">
      <c r="A36" s="1078" t="s">
        <v>961</v>
      </c>
      <c r="B36" s="1078"/>
      <c r="C36" s="1078"/>
      <c r="D36" s="1078"/>
      <c r="E36" s="1079"/>
      <c r="F36" s="978">
        <v>32683</v>
      </c>
      <c r="G36" s="979"/>
      <c r="H36" s="1065">
        <v>0</v>
      </c>
      <c r="I36" s="970"/>
      <c r="J36" s="970"/>
      <c r="K36" s="198">
        <f t="shared" si="1"/>
        <v>0</v>
      </c>
      <c r="L36" s="1104"/>
      <c r="M36" s="41"/>
      <c r="P36" s="21"/>
      <c r="Q36" s="94"/>
      <c r="R36" s="41"/>
      <c r="S36" s="41"/>
      <c r="T36" s="41"/>
      <c r="U36" s="3"/>
    </row>
    <row r="37" spans="1:21" ht="12.75" customHeight="1">
      <c r="A37" s="1078" t="s">
        <v>962</v>
      </c>
      <c r="B37" s="1078"/>
      <c r="C37" s="1078"/>
      <c r="D37" s="1078"/>
      <c r="E37" s="1079"/>
      <c r="F37" s="978">
        <v>43561</v>
      </c>
      <c r="G37" s="979"/>
      <c r="H37" s="1065">
        <v>0</v>
      </c>
      <c r="I37" s="970"/>
      <c r="J37" s="970"/>
      <c r="K37" s="198">
        <f t="shared" si="1"/>
        <v>0</v>
      </c>
      <c r="L37" s="1104"/>
      <c r="M37" s="41"/>
      <c r="P37" s="96"/>
      <c r="Q37" s="96"/>
      <c r="R37" s="41"/>
      <c r="S37" s="41"/>
      <c r="T37" s="41"/>
      <c r="U37" s="3"/>
    </row>
    <row r="38" spans="1:21" ht="12.75" customHeight="1">
      <c r="A38" s="1078" t="s">
        <v>963</v>
      </c>
      <c r="B38" s="1078"/>
      <c r="C38" s="1078"/>
      <c r="D38" s="1078"/>
      <c r="E38" s="1079"/>
      <c r="F38" s="978">
        <v>49000</v>
      </c>
      <c r="G38" s="979"/>
      <c r="H38" s="1065">
        <v>0</v>
      </c>
      <c r="I38" s="970"/>
      <c r="J38" s="970"/>
      <c r="K38" s="198">
        <f t="shared" si="1"/>
        <v>0</v>
      </c>
      <c r="L38" s="1104"/>
      <c r="M38" s="41"/>
      <c r="P38" s="96"/>
      <c r="Q38" s="96"/>
      <c r="R38" s="41"/>
      <c r="S38" s="41"/>
      <c r="T38" s="41"/>
      <c r="U38" s="3"/>
    </row>
    <row r="39" spans="1:21" ht="12.75" customHeight="1" hidden="1">
      <c r="A39" s="1078" t="s">
        <v>1012</v>
      </c>
      <c r="B39" s="1078"/>
      <c r="C39" s="1078"/>
      <c r="D39" s="1078"/>
      <c r="E39" s="1078"/>
      <c r="F39" s="972">
        <v>40725</v>
      </c>
      <c r="G39" s="972"/>
      <c r="H39" s="970">
        <v>0</v>
      </c>
      <c r="I39" s="970"/>
      <c r="J39" s="970"/>
      <c r="K39" s="198">
        <f t="shared" si="1"/>
        <v>0</v>
      </c>
      <c r="L39" s="1104"/>
      <c r="M39" s="41"/>
      <c r="P39" s="96"/>
      <c r="Q39" s="96"/>
      <c r="R39" s="41"/>
      <c r="S39" s="41"/>
      <c r="T39" s="41"/>
      <c r="U39" s="3"/>
    </row>
    <row r="40" spans="1:21" ht="12.75" customHeight="1" hidden="1">
      <c r="A40" s="1078" t="s">
        <v>1013</v>
      </c>
      <c r="B40" s="1078"/>
      <c r="C40" s="1078"/>
      <c r="D40" s="1078"/>
      <c r="E40" s="1078"/>
      <c r="F40" s="966">
        <v>56250</v>
      </c>
      <c r="G40" s="966"/>
      <c r="H40" s="970">
        <v>0</v>
      </c>
      <c r="I40" s="970"/>
      <c r="J40" s="970"/>
      <c r="K40" s="198">
        <f t="shared" si="1"/>
        <v>0</v>
      </c>
      <c r="L40" s="1104"/>
      <c r="M40" s="41"/>
      <c r="P40" s="96"/>
      <c r="Q40" s="96"/>
      <c r="R40" s="41"/>
      <c r="S40" s="41"/>
      <c r="T40" s="41"/>
      <c r="U40" s="3"/>
    </row>
    <row r="41" spans="1:21" s="7" customFormat="1" ht="28.5" customHeight="1">
      <c r="A41" s="1083" t="s">
        <v>208</v>
      </c>
      <c r="B41" s="1084"/>
      <c r="C41" s="1084"/>
      <c r="D41" s="1084"/>
      <c r="E41" s="1084"/>
      <c r="F41" s="1084"/>
      <c r="G41" s="1084"/>
      <c r="H41" s="1084"/>
      <c r="I41" s="1084"/>
      <c r="J41" s="1084"/>
      <c r="K41" s="1084"/>
      <c r="L41" s="1104"/>
      <c r="M41" s="41"/>
      <c r="P41" s="21"/>
      <c r="Q41" s="94"/>
      <c r="R41" s="43"/>
      <c r="S41" s="43"/>
      <c r="T41" s="43"/>
      <c r="U41" s="22"/>
    </row>
    <row r="42" spans="1:21" s="7" customFormat="1" ht="17.25" customHeight="1">
      <c r="A42" s="1085"/>
      <c r="B42" s="1086"/>
      <c r="C42" s="1086"/>
      <c r="D42" s="1086"/>
      <c r="E42" s="1086"/>
      <c r="F42" s="1086"/>
      <c r="G42" s="1086"/>
      <c r="H42" s="1086"/>
      <c r="I42" s="1086"/>
      <c r="J42" s="1086"/>
      <c r="K42" s="1087"/>
      <c r="L42" s="1104"/>
      <c r="M42" s="41"/>
      <c r="P42" s="21"/>
      <c r="Q42" s="94"/>
      <c r="R42" s="43"/>
      <c r="S42" s="43"/>
      <c r="T42" s="43"/>
      <c r="U42" s="22"/>
    </row>
    <row r="43" spans="5:21" s="22" customFormat="1" ht="6" customHeight="1">
      <c r="E43" s="99"/>
      <c r="F43" s="46"/>
      <c r="G43" s="46"/>
      <c r="H43" s="101"/>
      <c r="I43" s="101"/>
      <c r="J43" s="101"/>
      <c r="K43" s="100"/>
      <c r="L43" s="1104"/>
      <c r="M43" s="41"/>
      <c r="P43" s="96"/>
      <c r="Q43" s="21"/>
      <c r="R43" s="21"/>
      <c r="S43" s="21"/>
      <c r="T43" s="21"/>
      <c r="U43" s="41"/>
    </row>
    <row r="44" spans="1:21" s="7" customFormat="1" ht="22.5" customHeight="1">
      <c r="A44" s="1063" t="s">
        <v>126</v>
      </c>
      <c r="B44" s="1063"/>
      <c r="C44" s="1063"/>
      <c r="D44" s="1063"/>
      <c r="E44" s="1063"/>
      <c r="F44" s="847" t="s">
        <v>86</v>
      </c>
      <c r="G44" s="847"/>
      <c r="H44" s="847" t="s">
        <v>1101</v>
      </c>
      <c r="I44" s="847"/>
      <c r="J44" s="847"/>
      <c r="K44" s="197" t="s">
        <v>87</v>
      </c>
      <c r="L44" s="1104"/>
      <c r="M44" s="41"/>
      <c r="P44" s="41"/>
      <c r="Q44" s="94"/>
      <c r="R44" s="41"/>
      <c r="S44" s="41"/>
      <c r="T44" s="41"/>
      <c r="U44" s="41"/>
    </row>
    <row r="45" spans="1:21" ht="12.75" customHeight="1">
      <c r="A45" s="1059" t="s">
        <v>1017</v>
      </c>
      <c r="B45" s="1059"/>
      <c r="C45" s="1059"/>
      <c r="D45" s="1059"/>
      <c r="E45" s="1059"/>
      <c r="F45" s="1066"/>
      <c r="G45" s="1066"/>
      <c r="H45" s="1060">
        <v>0</v>
      </c>
      <c r="I45" s="1060"/>
      <c r="J45" s="1060"/>
      <c r="K45" s="211">
        <f>F45*H45</f>
        <v>0</v>
      </c>
      <c r="L45" s="1104"/>
      <c r="M45" s="41"/>
      <c r="P45" s="21"/>
      <c r="Q45" s="94"/>
      <c r="R45" s="41"/>
      <c r="S45" s="41"/>
      <c r="T45" s="41"/>
      <c r="U45" s="3"/>
    </row>
    <row r="46" spans="1:21" s="7" customFormat="1" ht="27" customHeight="1">
      <c r="A46" s="1058" t="s">
        <v>1036</v>
      </c>
      <c r="B46" s="1064"/>
      <c r="C46" s="1064"/>
      <c r="D46" s="1064"/>
      <c r="E46" s="1064"/>
      <c r="F46" s="1064"/>
      <c r="G46" s="1064"/>
      <c r="H46" s="1064"/>
      <c r="I46" s="1064"/>
      <c r="J46" s="1064"/>
      <c r="K46" s="1064"/>
      <c r="L46" s="1104"/>
      <c r="M46" s="41"/>
      <c r="P46" s="21"/>
      <c r="Q46" s="94"/>
      <c r="R46" s="43"/>
      <c r="S46" s="43"/>
      <c r="T46" s="43"/>
      <c r="U46" s="22"/>
    </row>
    <row r="47" spans="1:21" s="22" customFormat="1" ht="33" customHeight="1">
      <c r="A47" s="1062" t="s">
        <v>1081</v>
      </c>
      <c r="B47" s="1062"/>
      <c r="C47" s="1062"/>
      <c r="D47" s="1062"/>
      <c r="E47" s="1062"/>
      <c r="F47" s="1062"/>
      <c r="G47" s="1062"/>
      <c r="H47" s="1062"/>
      <c r="I47" s="1062"/>
      <c r="J47" s="1062"/>
      <c r="K47" s="1062"/>
      <c r="L47" s="1104"/>
      <c r="M47" s="41"/>
      <c r="P47" s="96"/>
      <c r="Q47" s="21"/>
      <c r="R47" s="21"/>
      <c r="S47" s="21"/>
      <c r="T47" s="21"/>
      <c r="U47" s="41"/>
    </row>
    <row r="48" spans="1:21" s="4" customFormat="1" ht="23.25" customHeight="1">
      <c r="A48" s="1063" t="s">
        <v>984</v>
      </c>
      <c r="B48" s="1063"/>
      <c r="C48" s="1063"/>
      <c r="D48" s="1063"/>
      <c r="E48" s="1063"/>
      <c r="F48" s="847" t="s">
        <v>88</v>
      </c>
      <c r="G48" s="847"/>
      <c r="H48" s="847" t="s">
        <v>1101</v>
      </c>
      <c r="I48" s="847"/>
      <c r="J48" s="847"/>
      <c r="K48" s="197" t="s">
        <v>89</v>
      </c>
      <c r="L48" s="1104"/>
      <c r="M48" s="41"/>
      <c r="N48" s="22"/>
      <c r="O48" s="22"/>
      <c r="P48" s="96"/>
      <c r="Q48" s="21"/>
      <c r="R48" s="21"/>
      <c r="S48" s="21"/>
      <c r="T48" s="21"/>
      <c r="U48" s="3"/>
    </row>
    <row r="49" spans="1:21" s="4" customFormat="1" ht="24.75" customHeight="1">
      <c r="A49" s="1059" t="s">
        <v>539</v>
      </c>
      <c r="B49" s="1059"/>
      <c r="C49" s="1059"/>
      <c r="D49" s="1059"/>
      <c r="E49" s="1059"/>
      <c r="F49" s="972">
        <f>667*49</f>
        <v>32683</v>
      </c>
      <c r="G49" s="972"/>
      <c r="H49" s="1060">
        <v>0</v>
      </c>
      <c r="I49" s="1060"/>
      <c r="J49" s="1060"/>
      <c r="K49" s="212">
        <f>F49*H49</f>
        <v>0</v>
      </c>
      <c r="L49" s="1104"/>
      <c r="M49" s="41"/>
      <c r="N49" s="22"/>
      <c r="O49" s="22"/>
      <c r="P49" s="96"/>
      <c r="Q49" s="21"/>
      <c r="R49" s="21"/>
      <c r="S49" s="21"/>
      <c r="T49" s="21"/>
      <c r="U49" s="3"/>
    </row>
    <row r="50" spans="1:21" s="22" customFormat="1" ht="3" customHeight="1">
      <c r="A50" s="189"/>
      <c r="B50" s="189"/>
      <c r="C50" s="189"/>
      <c r="D50" s="189"/>
      <c r="E50" s="189"/>
      <c r="F50" s="183"/>
      <c r="G50" s="183"/>
      <c r="H50" s="109"/>
      <c r="I50" s="109"/>
      <c r="J50" s="109"/>
      <c r="K50" s="100"/>
      <c r="M50" s="41"/>
      <c r="P50" s="96"/>
      <c r="Q50" s="21"/>
      <c r="R50" s="21"/>
      <c r="S50" s="21"/>
      <c r="T50" s="21"/>
      <c r="U50" s="41"/>
    </row>
    <row r="51" spans="1:21" s="22" customFormat="1" ht="53.25" customHeight="1">
      <c r="A51" s="1058" t="s">
        <v>679</v>
      </c>
      <c r="B51" s="1058"/>
      <c r="C51" s="1058"/>
      <c r="D51" s="1058"/>
      <c r="E51" s="1058"/>
      <c r="F51" s="1058"/>
      <c r="G51" s="1058"/>
      <c r="H51" s="1058"/>
      <c r="I51" s="1058"/>
      <c r="J51" s="1058"/>
      <c r="K51" s="1058"/>
      <c r="M51" s="41"/>
      <c r="P51" s="96"/>
      <c r="Q51" s="21"/>
      <c r="R51" s="21"/>
      <c r="S51" s="21"/>
      <c r="T51" s="21"/>
      <c r="U51" s="41"/>
    </row>
    <row r="52" spans="1:21" s="4" customFormat="1" ht="15" customHeight="1">
      <c r="A52" s="1062" t="s">
        <v>1082</v>
      </c>
      <c r="B52" s="1062"/>
      <c r="C52" s="1062"/>
      <c r="D52" s="1062"/>
      <c r="E52" s="1062"/>
      <c r="F52" s="1062"/>
      <c r="G52" s="1062"/>
      <c r="H52" s="1062"/>
      <c r="I52" s="1062"/>
      <c r="J52" s="1062"/>
      <c r="K52" s="1062"/>
      <c r="L52" s="22"/>
      <c r="M52" s="41"/>
      <c r="N52" s="22">
        <v>0</v>
      </c>
      <c r="O52" s="22"/>
      <c r="P52" s="96"/>
      <c r="Q52" s="21"/>
      <c r="R52" s="21"/>
      <c r="S52" s="21"/>
      <c r="T52" s="21"/>
      <c r="U52" s="3"/>
    </row>
    <row r="53" spans="1:21" s="22" customFormat="1" ht="13.5" customHeight="1">
      <c r="A53" s="1058" t="s">
        <v>292</v>
      </c>
      <c r="B53" s="1058"/>
      <c r="C53" s="1058"/>
      <c r="D53" s="1058"/>
      <c r="E53" s="1058"/>
      <c r="F53" s="1058"/>
      <c r="G53" s="1058"/>
      <c r="H53" s="1058"/>
      <c r="I53" s="1058"/>
      <c r="J53" s="1058"/>
      <c r="K53" s="1058"/>
      <c r="M53" s="41"/>
      <c r="N53" s="41"/>
      <c r="O53" s="643"/>
      <c r="P53" s="96"/>
      <c r="Q53" s="21"/>
      <c r="R53" s="21"/>
      <c r="S53" s="21"/>
      <c r="T53" s="21"/>
      <c r="U53" s="41"/>
    </row>
    <row r="54" spans="1:21" s="4" customFormat="1" ht="22.5" customHeight="1">
      <c r="A54" s="1063" t="s">
        <v>25</v>
      </c>
      <c r="B54" s="1063"/>
      <c r="C54" s="1063"/>
      <c r="D54" s="1063"/>
      <c r="E54" s="1063"/>
      <c r="F54" s="847" t="s">
        <v>88</v>
      </c>
      <c r="G54" s="847"/>
      <c r="H54" s="847" t="s">
        <v>1101</v>
      </c>
      <c r="I54" s="847"/>
      <c r="J54" s="847"/>
      <c r="K54" s="197" t="s">
        <v>89</v>
      </c>
      <c r="L54" s="22"/>
      <c r="M54" s="41"/>
      <c r="N54" s="41"/>
      <c r="O54" s="643"/>
      <c r="P54" s="96"/>
      <c r="Q54" s="21"/>
      <c r="R54" s="21"/>
      <c r="S54" s="21"/>
      <c r="T54" s="21"/>
      <c r="U54" s="3"/>
    </row>
    <row r="55" spans="1:21" s="4" customFormat="1" ht="22.5" customHeight="1">
      <c r="A55" s="1059" t="s">
        <v>680</v>
      </c>
      <c r="B55" s="1059"/>
      <c r="C55" s="1059"/>
      <c r="D55" s="1059"/>
      <c r="E55" s="1059"/>
      <c r="F55" s="1061">
        <f>667*49</f>
        <v>32683</v>
      </c>
      <c r="G55" s="1061"/>
      <c r="H55" s="1060">
        <v>0</v>
      </c>
      <c r="I55" s="1060"/>
      <c r="J55" s="1060"/>
      <c r="K55" s="212">
        <f>F55*H55</f>
        <v>0</v>
      </c>
      <c r="L55" s="22"/>
      <c r="M55" s="41"/>
      <c r="N55" s="41"/>
      <c r="O55" s="643"/>
      <c r="P55" s="96"/>
      <c r="Q55" s="21"/>
      <c r="R55" s="21"/>
      <c r="S55" s="21"/>
      <c r="T55" s="21"/>
      <c r="U55" s="3"/>
    </row>
    <row r="56" spans="1:21" s="4" customFormat="1" ht="22.5" customHeight="1">
      <c r="A56" s="1059" t="s">
        <v>681</v>
      </c>
      <c r="B56" s="1059"/>
      <c r="C56" s="1059"/>
      <c r="D56" s="1059"/>
      <c r="E56" s="1059"/>
      <c r="F56" s="1061">
        <f>889*49</f>
        <v>43561</v>
      </c>
      <c r="G56" s="1061"/>
      <c r="H56" s="1060">
        <v>0</v>
      </c>
      <c r="I56" s="1060"/>
      <c r="J56" s="1060"/>
      <c r="K56" s="212">
        <f>F56*H56</f>
        <v>0</v>
      </c>
      <c r="L56" s="22"/>
      <c r="M56" s="41"/>
      <c r="N56" s="41"/>
      <c r="O56" s="643"/>
      <c r="P56" s="96"/>
      <c r="Q56" s="21"/>
      <c r="R56" s="21"/>
      <c r="S56" s="21"/>
      <c r="T56" s="21"/>
      <c r="U56" s="3"/>
    </row>
    <row r="57" spans="1:21" s="22" customFormat="1" ht="30" customHeight="1">
      <c r="A57" s="1058" t="s">
        <v>588</v>
      </c>
      <c r="B57" s="1058"/>
      <c r="C57" s="1058"/>
      <c r="D57" s="1058"/>
      <c r="E57" s="1058"/>
      <c r="F57" s="1058"/>
      <c r="G57" s="1058"/>
      <c r="H57" s="1058"/>
      <c r="I57" s="1058"/>
      <c r="J57" s="1058"/>
      <c r="K57" s="1058"/>
      <c r="M57" s="41"/>
      <c r="O57" s="643"/>
      <c r="P57" s="96"/>
      <c r="Q57" s="21"/>
      <c r="R57" s="21"/>
      <c r="S57" s="21"/>
      <c r="T57" s="21"/>
      <c r="U57" s="41"/>
    </row>
    <row r="58" spans="1:21" ht="3.75" customHeight="1">
      <c r="A58" s="150"/>
      <c r="B58" s="150"/>
      <c r="C58" s="150"/>
      <c r="D58" s="150"/>
      <c r="E58" s="150"/>
      <c r="F58" s="183"/>
      <c r="G58" s="183"/>
      <c r="H58" s="109"/>
      <c r="I58" s="109"/>
      <c r="J58" s="109"/>
      <c r="K58" s="114"/>
      <c r="M58" s="22"/>
      <c r="N58" s="96"/>
      <c r="O58" s="643"/>
      <c r="P58" s="96"/>
      <c r="Q58" s="96"/>
      <c r="R58" s="43"/>
      <c r="S58" s="43"/>
      <c r="T58" s="43"/>
      <c r="U58" s="4"/>
    </row>
    <row r="59" spans="5:21" s="7" customFormat="1" ht="12.75">
      <c r="E59" s="1069" t="s">
        <v>80</v>
      </c>
      <c r="F59" s="1069"/>
      <c r="G59" s="1069"/>
      <c r="H59" s="1069"/>
      <c r="I59" s="1069"/>
      <c r="J59" s="1070"/>
      <c r="K59" s="669">
        <f>SUM(K18,K22:K29,K33:K40,K45,K49,K55:K56)</f>
        <v>2646</v>
      </c>
      <c r="M59" s="43"/>
      <c r="N59" s="43"/>
      <c r="O59" s="643"/>
      <c r="P59" s="94"/>
      <c r="Q59" s="21"/>
      <c r="R59" s="45"/>
      <c r="S59" s="21"/>
      <c r="T59" s="21"/>
      <c r="U59" s="41"/>
    </row>
    <row r="60" spans="5:21" s="7" customFormat="1" ht="12.75">
      <c r="E60" s="1069" t="s">
        <v>81</v>
      </c>
      <c r="F60" s="1069"/>
      <c r="G60" s="1069"/>
      <c r="H60" s="1069"/>
      <c r="I60" s="1069"/>
      <c r="J60" s="1070"/>
      <c r="K60" s="669">
        <f>K59*0.18</f>
        <v>476.28</v>
      </c>
      <c r="M60" s="43"/>
      <c r="N60" s="43"/>
      <c r="O60" s="643"/>
      <c r="P60" s="94"/>
      <c r="Q60" s="21"/>
      <c r="R60" s="45"/>
      <c r="S60" s="21"/>
      <c r="T60" s="21"/>
      <c r="U60" s="41"/>
    </row>
    <row r="61" spans="5:21" s="7" customFormat="1" ht="11.25" customHeight="1">
      <c r="E61" s="1069" t="s">
        <v>82</v>
      </c>
      <c r="F61" s="1069"/>
      <c r="G61" s="1069"/>
      <c r="H61" s="1069"/>
      <c r="I61" s="1069"/>
      <c r="J61" s="1070"/>
      <c r="K61" s="201">
        <f>K59+K60</f>
        <v>3122.2799999999997</v>
      </c>
      <c r="M61" s="43"/>
      <c r="N61" s="43"/>
      <c r="O61" s="643"/>
      <c r="P61" s="94"/>
      <c r="Q61" s="21"/>
      <c r="R61" s="21"/>
      <c r="S61" s="21"/>
      <c r="T61" s="21"/>
      <c r="U61" s="41"/>
    </row>
    <row r="62" spans="5:21" s="7" customFormat="1" ht="11.25" customHeight="1">
      <c r="E62" s="102"/>
      <c r="F62" s="102"/>
      <c r="G62" s="102"/>
      <c r="H62" s="102"/>
      <c r="I62" s="102"/>
      <c r="J62" s="103"/>
      <c r="K62" s="647"/>
      <c r="M62" s="43"/>
      <c r="N62" s="43"/>
      <c r="O62" s="643"/>
      <c r="P62" s="94"/>
      <c r="Q62" s="21"/>
      <c r="R62" s="21"/>
      <c r="S62" s="21"/>
      <c r="T62" s="21"/>
      <c r="U62" s="41"/>
    </row>
    <row r="63" spans="1:15" ht="54.75" customHeight="1">
      <c r="A63" s="1088" t="s">
        <v>83</v>
      </c>
      <c r="B63" s="1088"/>
      <c r="C63" s="1088"/>
      <c r="D63" s="1088"/>
      <c r="E63" s="1088"/>
      <c r="F63" s="1088"/>
      <c r="G63" s="1088"/>
      <c r="H63" s="1088"/>
      <c r="I63" s="1088"/>
      <c r="J63" s="1088"/>
      <c r="K63" s="1088"/>
      <c r="O63" s="643"/>
    </row>
    <row r="64" spans="1:15" ht="54" customHeight="1">
      <c r="A64" s="1088" t="s">
        <v>84</v>
      </c>
      <c r="B64" s="1088"/>
      <c r="C64" s="1088"/>
      <c r="D64" s="1088"/>
      <c r="E64" s="1088"/>
      <c r="F64" s="1088"/>
      <c r="G64" s="1088"/>
      <c r="H64" s="1088"/>
      <c r="I64" s="1088"/>
      <c r="J64" s="1088"/>
      <c r="K64" s="1088"/>
      <c r="O64" s="643"/>
    </row>
    <row r="65" spans="1:15" ht="27.75" customHeight="1">
      <c r="A65" s="1088" t="s">
        <v>85</v>
      </c>
      <c r="B65" s="1088"/>
      <c r="C65" s="1088"/>
      <c r="D65" s="1088"/>
      <c r="E65" s="1088"/>
      <c r="F65" s="1088"/>
      <c r="G65" s="1088"/>
      <c r="H65" s="1088"/>
      <c r="I65" s="1088"/>
      <c r="J65" s="1088"/>
      <c r="K65" s="1088"/>
      <c r="O65" s="643"/>
    </row>
    <row r="66" spans="1:15" ht="3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O66" s="643"/>
    </row>
    <row r="67" spans="1:15" ht="12.75" customHeight="1">
      <c r="A67" s="7" t="s">
        <v>1077</v>
      </c>
      <c r="B67" s="7"/>
      <c r="C67" s="7"/>
      <c r="D67" s="7"/>
      <c r="E67" s="7"/>
      <c r="F67" s="7"/>
      <c r="G67" s="7"/>
      <c r="H67" s="7"/>
      <c r="I67" s="7"/>
      <c r="J67" s="7"/>
      <c r="K67" s="7"/>
      <c r="O67" s="643"/>
    </row>
    <row r="68" spans="1:15" ht="12" customHeight="1">
      <c r="A68" s="984" t="s">
        <v>319</v>
      </c>
      <c r="B68" s="984"/>
      <c r="C68" s="984"/>
      <c r="D68" s="984"/>
      <c r="E68" s="984"/>
      <c r="F68" s="47" t="s">
        <v>564</v>
      </c>
      <c r="G68" s="1014" t="str">
        <f>CONCATENATE('Заявка стр. 1'!B4)</f>
        <v>АО "Научно-производственный центр "Вигстар"</v>
      </c>
      <c r="H68" s="1014"/>
      <c r="I68" s="1014"/>
      <c r="J68" s="1014"/>
      <c r="K68" s="1014"/>
      <c r="O68" s="643"/>
    </row>
    <row r="69" spans="1:15" ht="12" customHeight="1">
      <c r="A69" s="984" t="s">
        <v>1091</v>
      </c>
      <c r="B69" s="984"/>
      <c r="C69" s="984"/>
      <c r="D69" s="277"/>
      <c r="E69" s="277"/>
      <c r="F69" s="47"/>
      <c r="G69" s="279"/>
      <c r="H69" s="279"/>
      <c r="I69" s="279"/>
      <c r="J69" s="279"/>
      <c r="K69" s="279"/>
      <c r="O69" s="643"/>
    </row>
    <row r="70" spans="1:15" ht="17.25" customHeight="1">
      <c r="A70" s="1089" t="s">
        <v>920</v>
      </c>
      <c r="B70" s="1067"/>
      <c r="C70" s="1067"/>
      <c r="D70" s="1067"/>
      <c r="E70" s="1067"/>
      <c r="F70" s="104"/>
      <c r="G70" s="1090" t="str">
        <f>CONCATENATE('Заявка стр. 1'!B17)</f>
        <v>Заместитель генерального директора по экономике и финансам</v>
      </c>
      <c r="H70" s="1090"/>
      <c r="I70" s="1090"/>
      <c r="J70" s="1090"/>
      <c r="K70" s="1090"/>
      <c r="O70" s="643"/>
    </row>
    <row r="71" spans="1:15" ht="12.75" customHeight="1">
      <c r="A71" s="991"/>
      <c r="B71" s="992"/>
      <c r="C71" s="992"/>
      <c r="D71" s="992"/>
      <c r="E71" s="992"/>
      <c r="F71" s="44"/>
      <c r="G71" s="988" t="str">
        <f>CONCATENATE('Заявка стр. 1'!A19)</f>
        <v>Короткевич Олег Иосифович</v>
      </c>
      <c r="H71" s="988"/>
      <c r="I71" s="988"/>
      <c r="J71" s="988"/>
      <c r="K71" s="988"/>
      <c r="O71" s="643"/>
    </row>
    <row r="72" spans="1:15" ht="12.75" customHeight="1">
      <c r="A72" s="1081" t="s">
        <v>562</v>
      </c>
      <c r="B72" s="1081"/>
      <c r="C72" s="1081"/>
      <c r="D72" s="1081"/>
      <c r="E72" s="1081"/>
      <c r="F72" s="44"/>
      <c r="G72" s="1082" t="s">
        <v>414</v>
      </c>
      <c r="H72" s="1082"/>
      <c r="I72" s="1082"/>
      <c r="J72" s="1082"/>
      <c r="K72" s="1082"/>
      <c r="O72" s="643"/>
    </row>
    <row r="73" spans="1:15" ht="21" customHeight="1">
      <c r="A73" s="1080" t="s">
        <v>747</v>
      </c>
      <c r="B73" s="1080"/>
      <c r="C73" s="1080"/>
      <c r="D73" s="1080"/>
      <c r="E73" s="1080"/>
      <c r="F73" s="40"/>
      <c r="G73" s="820" t="s">
        <v>747</v>
      </c>
      <c r="H73" s="820"/>
      <c r="I73" s="820"/>
      <c r="J73" s="820"/>
      <c r="K73" s="820"/>
      <c r="O73" s="643"/>
    </row>
    <row r="74" spans="1:15" ht="12.75">
      <c r="A74" s="7"/>
      <c r="B74" s="7"/>
      <c r="C74" s="7"/>
      <c r="D74" s="7"/>
      <c r="E74" s="40"/>
      <c r="F74" s="40"/>
      <c r="G74" s="7"/>
      <c r="H74" s="7"/>
      <c r="I74" s="7"/>
      <c r="J74" s="7"/>
      <c r="K74" s="7"/>
      <c r="L74" s="348"/>
      <c r="O74" s="643"/>
    </row>
    <row r="75" spans="1:15" ht="12.75">
      <c r="A75" s="7"/>
      <c r="B75" s="7"/>
      <c r="C75" s="7"/>
      <c r="D75" s="7"/>
      <c r="E75" s="40"/>
      <c r="F75" s="105"/>
      <c r="G75" s="7"/>
      <c r="H75" s="7"/>
      <c r="I75" s="7"/>
      <c r="J75" s="7"/>
      <c r="K75" s="7"/>
      <c r="L75" s="348"/>
      <c r="O75" s="643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348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348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348"/>
    </row>
    <row r="79" spans="12:22" s="7" customFormat="1" ht="12.75">
      <c r="L79" s="348"/>
      <c r="U79" s="1"/>
      <c r="V79" s="1"/>
    </row>
    <row r="80" spans="12:22" s="7" customFormat="1" ht="12.75">
      <c r="L80" s="348"/>
      <c r="U80" s="1"/>
      <c r="V80" s="1"/>
    </row>
    <row r="81" spans="12:22" s="7" customFormat="1" ht="12.75">
      <c r="L81" s="348"/>
      <c r="U81" s="1"/>
      <c r="V81" s="1"/>
    </row>
    <row r="82" spans="12:22" s="7" customFormat="1" ht="12.75">
      <c r="L82" s="348"/>
      <c r="U82" s="1"/>
      <c r="V82" s="1"/>
    </row>
    <row r="83" spans="12:22" s="7" customFormat="1" ht="12.75">
      <c r="L83" s="348"/>
      <c r="U83" s="1"/>
      <c r="V83" s="1"/>
    </row>
    <row r="84" spans="12:22" s="7" customFormat="1" ht="12.75">
      <c r="L84" s="348"/>
      <c r="U84" s="1"/>
      <c r="V84" s="1"/>
    </row>
    <row r="85" spans="12:22" s="7" customFormat="1" ht="12.75">
      <c r="L85" s="348"/>
      <c r="U85" s="1"/>
      <c r="V85" s="1"/>
    </row>
    <row r="86" spans="12:22" s="7" customFormat="1" ht="12.75">
      <c r="L86" s="348"/>
      <c r="U86" s="1"/>
      <c r="V86" s="1"/>
    </row>
    <row r="87" spans="12:22" s="7" customFormat="1" ht="12.75">
      <c r="L87" s="348"/>
      <c r="U87" s="1"/>
      <c r="V87" s="1"/>
    </row>
    <row r="88" s="7" customFormat="1" ht="12.75">
      <c r="L88" s="348"/>
    </row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</sheetData>
  <sheetProtection password="CC03" sheet="1" selectLockedCells="1"/>
  <mergeCells count="129">
    <mergeCell ref="H35:J35"/>
    <mergeCell ref="H24:J24"/>
    <mergeCell ref="L1:L49"/>
    <mergeCell ref="A36:E36"/>
    <mergeCell ref="F36:G36"/>
    <mergeCell ref="H36:J36"/>
    <mergeCell ref="F28:G28"/>
    <mergeCell ref="A29:E29"/>
    <mergeCell ref="F29:G29"/>
    <mergeCell ref="H32:J32"/>
    <mergeCell ref="A33:E33"/>
    <mergeCell ref="A23:E23"/>
    <mergeCell ref="F23:G23"/>
    <mergeCell ref="A25:E25"/>
    <mergeCell ref="F25:G25"/>
    <mergeCell ref="A24:E24"/>
    <mergeCell ref="F38:G38"/>
    <mergeCell ref="H38:J38"/>
    <mergeCell ref="A27:E27"/>
    <mergeCell ref="F26:G26"/>
    <mergeCell ref="F33:G33"/>
    <mergeCell ref="H33:J33"/>
    <mergeCell ref="F27:G27"/>
    <mergeCell ref="H29:J29"/>
    <mergeCell ref="A30:K30"/>
    <mergeCell ref="A38:E38"/>
    <mergeCell ref="A37:E37"/>
    <mergeCell ref="H26:J26"/>
    <mergeCell ref="F24:G24"/>
    <mergeCell ref="A26:E26"/>
    <mergeCell ref="H28:J28"/>
    <mergeCell ref="A32:E32"/>
    <mergeCell ref="A28:E28"/>
    <mergeCell ref="F32:G32"/>
    <mergeCell ref="H27:J27"/>
    <mergeCell ref="H25:J25"/>
    <mergeCell ref="A22:E22"/>
    <mergeCell ref="H21:J21"/>
    <mergeCell ref="H22:J22"/>
    <mergeCell ref="A21:E21"/>
    <mergeCell ref="F22:G22"/>
    <mergeCell ref="F21:G21"/>
    <mergeCell ref="G1:K1"/>
    <mergeCell ref="G2:K2"/>
    <mergeCell ref="F1:F3"/>
    <mergeCell ref="H23:J23"/>
    <mergeCell ref="A20:K20"/>
    <mergeCell ref="C2:E2"/>
    <mergeCell ref="G3:H3"/>
    <mergeCell ref="J3:K3"/>
    <mergeCell ref="C3:E3"/>
    <mergeCell ref="A2:B2"/>
    <mergeCell ref="A63:K63"/>
    <mergeCell ref="A68:E68"/>
    <mergeCell ref="H49:J49"/>
    <mergeCell ref="A70:E70"/>
    <mergeCell ref="G70:K70"/>
    <mergeCell ref="A64:K64"/>
    <mergeCell ref="A65:K65"/>
    <mergeCell ref="F54:G54"/>
    <mergeCell ref="G68:K68"/>
    <mergeCell ref="A69:C69"/>
    <mergeCell ref="F44:G44"/>
    <mergeCell ref="A41:K41"/>
    <mergeCell ref="A42:K42"/>
    <mergeCell ref="A39:E39"/>
    <mergeCell ref="F39:G39"/>
    <mergeCell ref="H39:J39"/>
    <mergeCell ref="A40:E40"/>
    <mergeCell ref="F40:G40"/>
    <mergeCell ref="A73:E73"/>
    <mergeCell ref="A72:E72"/>
    <mergeCell ref="G73:K73"/>
    <mergeCell ref="G71:K71"/>
    <mergeCell ref="A71:E71"/>
    <mergeCell ref="G72:K72"/>
    <mergeCell ref="F18:G18"/>
    <mergeCell ref="H18:J18"/>
    <mergeCell ref="E59:J59"/>
    <mergeCell ref="E60:J60"/>
    <mergeCell ref="A46:K46"/>
    <mergeCell ref="A18:E18"/>
    <mergeCell ref="A35:E35"/>
    <mergeCell ref="F35:G35"/>
    <mergeCell ref="A34:E34"/>
    <mergeCell ref="F34:G34"/>
    <mergeCell ref="E61:J61"/>
    <mergeCell ref="H54:J54"/>
    <mergeCell ref="A54:E54"/>
    <mergeCell ref="B5:C5"/>
    <mergeCell ref="A7:C7"/>
    <mergeCell ref="B11:C11"/>
    <mergeCell ref="A14:K14"/>
    <mergeCell ref="F11:H11"/>
    <mergeCell ref="B9:C9"/>
    <mergeCell ref="F9:H9"/>
    <mergeCell ref="F5:H7"/>
    <mergeCell ref="A15:B15"/>
    <mergeCell ref="A17:E17"/>
    <mergeCell ref="F17:G17"/>
    <mergeCell ref="G15:K15"/>
    <mergeCell ref="H17:J17"/>
    <mergeCell ref="A16:K16"/>
    <mergeCell ref="A19:K19"/>
    <mergeCell ref="F37:G37"/>
    <mergeCell ref="H37:J37"/>
    <mergeCell ref="A45:E45"/>
    <mergeCell ref="F45:G45"/>
    <mergeCell ref="H45:J45"/>
    <mergeCell ref="H40:J40"/>
    <mergeCell ref="A44:E44"/>
    <mergeCell ref="H44:J44"/>
    <mergeCell ref="H34:J34"/>
    <mergeCell ref="A47:K47"/>
    <mergeCell ref="A49:E49"/>
    <mergeCell ref="A52:K52"/>
    <mergeCell ref="F49:G49"/>
    <mergeCell ref="A51:K51"/>
    <mergeCell ref="A48:E48"/>
    <mergeCell ref="A53:K53"/>
    <mergeCell ref="H48:J48"/>
    <mergeCell ref="A57:K57"/>
    <mergeCell ref="A55:E55"/>
    <mergeCell ref="H55:J55"/>
    <mergeCell ref="F55:G55"/>
    <mergeCell ref="A56:E56"/>
    <mergeCell ref="F56:G56"/>
    <mergeCell ref="H56:J56"/>
    <mergeCell ref="F48:G48"/>
  </mergeCells>
  <conditionalFormatting sqref="K5 K9 K7 K11">
    <cfRule type="cellIs" priority="1" dxfId="65" operator="equal" stopIfTrue="1">
      <formula>0</formula>
    </cfRule>
  </conditionalFormatting>
  <hyperlinks>
    <hyperlink ref="B11" r:id="rId1" display="montage@b95.ru"/>
  </hyperlinks>
  <printOptions/>
  <pageMargins left="0.5905511811023623" right="0.3937007874015748" top="0.3937007874015748" bottom="0.3937007874015748" header="0.5118110236220472" footer="0.5118110236220472"/>
  <pageSetup fitToHeight="2" fitToWidth="1" horizontalDpi="1200" verticalDpi="1200" orientation="portrait" paperSize="9" scale="9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A-glebov</dc:creator>
  <cp:keywords/>
  <dc:description/>
  <cp:lastModifiedBy>Виктор Самченко (HO-SAMCHENKO - v.samchenko)</cp:lastModifiedBy>
  <cp:lastPrinted>2016-09-15T08:27:35Z</cp:lastPrinted>
  <dcterms:created xsi:type="dcterms:W3CDTF">2006-08-22T08:59:20Z</dcterms:created>
  <dcterms:modified xsi:type="dcterms:W3CDTF">2016-09-15T10:00:08Z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